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1012"/>
  <workbookPr defaultThemeVersion="124226"/>
  <mc:AlternateContent xmlns:mc="http://schemas.openxmlformats.org/markup-compatibility/2006">
    <mc:Choice Requires="x15">
      <x15ac:absPath xmlns:x15ac="http://schemas.microsoft.com/office/spreadsheetml/2010/11/ac" url="https://sekhukhunegovza-my.sharepoint.com/personal/budeliv_sekhukhune_gov_za/Documents/Desktop/work/March/31/Policies/"/>
    </mc:Choice>
  </mc:AlternateContent>
  <xr:revisionPtr revIDLastSave="0" documentId="8_{6B6291A5-1CF2-47BD-A1AC-3A9A0D19C935}" xr6:coauthVersionLast="47" xr6:coauthVersionMax="47" xr10:uidLastSave="{00000000-0000-0000-0000-000000000000}"/>
  <bookViews>
    <workbookView xWindow="4440" yWindow="760" windowWidth="20740" windowHeight="11040" activeTab="1" xr2:uid="{00000000-000D-0000-FFFF-FFFF00000000}"/>
  </bookViews>
  <sheets>
    <sheet name="Consolidated SDM Tariffs" sheetId="6" state="hidden" r:id="rId1"/>
    <sheet name="SDM Tariffs" sheetId="1" r:id="rId2"/>
    <sheet name="Sheet1" sheetId="2" state="hidden" r:id="rId3"/>
    <sheet name="Ephraim" sheetId="4" state="hidden" r:id="rId4"/>
    <sheet name="Elias" sheetId="3" state="hidden" r:id="rId5"/>
    <sheet name="Sheet2" sheetId="5" state="hidden" r:id="rId6"/>
    <sheet name="Sundry tariifs" sheetId="10" r:id="rId7"/>
    <sheet name="Cost per Kilolitre" sheetId="8" r:id="rId8"/>
    <sheet name="Fire safety and training" sheetId="9" r:id="rId9"/>
    <sheet name="Municipal Health" sheetId="11" r:id="rId10"/>
  </sheets>
  <externalReferences>
    <externalReference r:id="rId11"/>
  </externalReferences>
  <definedNames>
    <definedName name="_Hlk113963318" localSheetId="9">'Municipal Health'!#REF!</definedName>
    <definedName name="_xlnm.Print_Area" localSheetId="1">'SDM Tariffs'!$A$1:$R$386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250" i="9" l="1"/>
  <c r="T249" i="9"/>
  <c r="T248" i="9"/>
  <c r="T247" i="9"/>
  <c r="T244" i="9"/>
  <c r="T243" i="9"/>
  <c r="T242" i="9"/>
  <c r="T238" i="9"/>
  <c r="T235" i="9"/>
  <c r="T234" i="9"/>
  <c r="T230" i="9"/>
  <c r="T229" i="9"/>
  <c r="T228" i="9"/>
  <c r="T227" i="9"/>
  <c r="T226" i="9"/>
  <c r="T225" i="9"/>
  <c r="T224" i="9"/>
  <c r="T223" i="9"/>
  <c r="T218" i="9"/>
  <c r="T217" i="9"/>
  <c r="T216" i="9"/>
  <c r="T215" i="9"/>
  <c r="T214" i="9"/>
  <c r="T213" i="9"/>
  <c r="T204" i="9"/>
  <c r="T203" i="9"/>
  <c r="T202" i="9"/>
  <c r="T201" i="9"/>
  <c r="T200" i="9"/>
  <c r="T199" i="9"/>
  <c r="T198" i="9"/>
  <c r="T197" i="9"/>
  <c r="T196" i="9"/>
  <c r="T195" i="9"/>
  <c r="T194" i="9"/>
  <c r="T193" i="9"/>
  <c r="T192" i="9"/>
  <c r="T191" i="9"/>
  <c r="T190" i="9"/>
  <c r="T189" i="9"/>
  <c r="T188" i="9"/>
  <c r="T187" i="9"/>
  <c r="T186" i="9"/>
  <c r="T185" i="9"/>
  <c r="T184" i="9"/>
  <c r="T183" i="9"/>
  <c r="T182" i="9"/>
  <c r="T181" i="9"/>
  <c r="T180" i="9"/>
  <c r="T131" i="9"/>
  <c r="T119" i="9"/>
  <c r="T118" i="9"/>
  <c r="T117" i="9"/>
  <c r="T116" i="9"/>
  <c r="T115" i="9"/>
  <c r="T114" i="9"/>
  <c r="T113" i="9"/>
  <c r="T112" i="9"/>
  <c r="T111" i="9"/>
  <c r="T110" i="9"/>
  <c r="T109" i="9"/>
  <c r="T108" i="9"/>
  <c r="T107" i="9"/>
  <c r="T106" i="9"/>
  <c r="T101" i="9"/>
  <c r="T100" i="9"/>
  <c r="T99" i="9"/>
  <c r="T98" i="9"/>
  <c r="T97" i="9"/>
  <c r="T96" i="9"/>
  <c r="T95" i="9"/>
  <c r="T94" i="9"/>
  <c r="T93" i="9"/>
  <c r="T92" i="9"/>
  <c r="T91" i="9"/>
  <c r="T90" i="9"/>
  <c r="T85" i="9"/>
  <c r="T84" i="9"/>
  <c r="T83" i="9"/>
  <c r="T82" i="9"/>
  <c r="T81" i="9"/>
  <c r="T80" i="9"/>
  <c r="T79" i="9"/>
  <c r="T78" i="9"/>
  <c r="T77" i="9"/>
  <c r="T76" i="9"/>
  <c r="T75" i="9"/>
  <c r="T74" i="9"/>
  <c r="T73" i="9"/>
  <c r="T72" i="9"/>
  <c r="T71" i="9"/>
  <c r="T70" i="9"/>
  <c r="T69" i="9"/>
  <c r="T68" i="9"/>
  <c r="T67" i="9"/>
  <c r="T66" i="9"/>
  <c r="T65" i="9"/>
  <c r="T49" i="9"/>
  <c r="T47" i="9"/>
  <c r="T45" i="9"/>
  <c r="T36" i="9"/>
  <c r="T33" i="9"/>
  <c r="T31" i="9"/>
  <c r="T27" i="9"/>
  <c r="T26" i="9"/>
  <c r="T23" i="9"/>
  <c r="T20" i="9"/>
  <c r="T18" i="9"/>
  <c r="T16" i="9"/>
  <c r="T14" i="9"/>
  <c r="S250" i="9"/>
  <c r="S249" i="9"/>
  <c r="S248" i="9"/>
  <c r="S247" i="9"/>
  <c r="S244" i="9"/>
  <c r="S243" i="9"/>
  <c r="S242" i="9"/>
  <c r="S238" i="9"/>
  <c r="S235" i="9"/>
  <c r="S234" i="9"/>
  <c r="S230" i="9"/>
  <c r="S229" i="9"/>
  <c r="S228" i="9"/>
  <c r="S227" i="9"/>
  <c r="S226" i="9"/>
  <c r="S225" i="9"/>
  <c r="S224" i="9"/>
  <c r="S223" i="9"/>
  <c r="S218" i="9"/>
  <c r="S217" i="9"/>
  <c r="S216" i="9"/>
  <c r="S215" i="9"/>
  <c r="S214" i="9"/>
  <c r="S213" i="9"/>
  <c r="S204" i="9"/>
  <c r="S203" i="9"/>
  <c r="S202" i="9"/>
  <c r="S201" i="9"/>
  <c r="S200" i="9"/>
  <c r="S199" i="9"/>
  <c r="S198" i="9"/>
  <c r="S197" i="9"/>
  <c r="S196" i="9"/>
  <c r="S195" i="9"/>
  <c r="S194" i="9"/>
  <c r="S193" i="9"/>
  <c r="S192" i="9"/>
  <c r="S191" i="9"/>
  <c r="S190" i="9"/>
  <c r="S189" i="9"/>
  <c r="S188" i="9"/>
  <c r="S187" i="9"/>
  <c r="S186" i="9"/>
  <c r="S185" i="9"/>
  <c r="S184" i="9"/>
  <c r="S183" i="9"/>
  <c r="S182" i="9"/>
  <c r="S181" i="9"/>
  <c r="S180" i="9"/>
  <c r="S131" i="9"/>
  <c r="S119" i="9"/>
  <c r="S118" i="9"/>
  <c r="S117" i="9"/>
  <c r="S116" i="9"/>
  <c r="S115" i="9"/>
  <c r="S114" i="9"/>
  <c r="S113" i="9"/>
  <c r="S112" i="9"/>
  <c r="S111" i="9"/>
  <c r="S110" i="9"/>
  <c r="S109" i="9"/>
  <c r="S108" i="9"/>
  <c r="S107" i="9"/>
  <c r="S106" i="9"/>
  <c r="S101" i="9"/>
  <c r="S100" i="9"/>
  <c r="S99" i="9"/>
  <c r="S98" i="9"/>
  <c r="S97" i="9"/>
  <c r="S96" i="9"/>
  <c r="S95" i="9"/>
  <c r="S94" i="9"/>
  <c r="S93" i="9"/>
  <c r="S92" i="9"/>
  <c r="S91" i="9"/>
  <c r="S90" i="9"/>
  <c r="S85" i="9"/>
  <c r="S84" i="9"/>
  <c r="S83" i="9"/>
  <c r="S82" i="9"/>
  <c r="S81" i="9"/>
  <c r="S80" i="9"/>
  <c r="S79" i="9"/>
  <c r="S78" i="9"/>
  <c r="S77" i="9"/>
  <c r="S76" i="9"/>
  <c r="S75" i="9"/>
  <c r="S74" i="9"/>
  <c r="S73" i="9"/>
  <c r="S72" i="9"/>
  <c r="S71" i="9"/>
  <c r="S70" i="9"/>
  <c r="S69" i="9"/>
  <c r="S68" i="9"/>
  <c r="S67" i="9"/>
  <c r="S66" i="9"/>
  <c r="S65" i="9"/>
  <c r="S49" i="9"/>
  <c r="S47" i="9"/>
  <c r="S45" i="9"/>
  <c r="S36" i="9"/>
  <c r="S33" i="9"/>
  <c r="S31" i="9"/>
  <c r="S27" i="9"/>
  <c r="S26" i="9"/>
  <c r="S23" i="9"/>
  <c r="S20" i="9"/>
  <c r="S18" i="9"/>
  <c r="S16" i="9"/>
  <c r="S14" i="9"/>
  <c r="R250" i="9"/>
  <c r="R249" i="9"/>
  <c r="R248" i="9"/>
  <c r="R247" i="9"/>
  <c r="R244" i="9"/>
  <c r="R243" i="9"/>
  <c r="R242" i="9"/>
  <c r="R238" i="9"/>
  <c r="R235" i="9"/>
  <c r="R234" i="9"/>
  <c r="R230" i="9"/>
  <c r="R229" i="9"/>
  <c r="R228" i="9"/>
  <c r="R227" i="9"/>
  <c r="R226" i="9"/>
  <c r="R225" i="9"/>
  <c r="R224" i="9"/>
  <c r="R223" i="9"/>
  <c r="R218" i="9"/>
  <c r="R217" i="9"/>
  <c r="R216" i="9"/>
  <c r="R215" i="9"/>
  <c r="R214" i="9"/>
  <c r="R213" i="9"/>
  <c r="R204" i="9"/>
  <c r="R203" i="9"/>
  <c r="R202" i="9"/>
  <c r="R201" i="9"/>
  <c r="R200" i="9"/>
  <c r="R199" i="9"/>
  <c r="R198" i="9"/>
  <c r="R197" i="9"/>
  <c r="R196" i="9"/>
  <c r="R195" i="9"/>
  <c r="R194" i="9"/>
  <c r="R193" i="9"/>
  <c r="R192" i="9"/>
  <c r="R191" i="9"/>
  <c r="R190" i="9"/>
  <c r="R189" i="9"/>
  <c r="R188" i="9"/>
  <c r="R187" i="9"/>
  <c r="R186" i="9"/>
  <c r="R185" i="9"/>
  <c r="R184" i="9"/>
  <c r="R183" i="9"/>
  <c r="R182" i="9"/>
  <c r="R181" i="9"/>
  <c r="R180" i="9"/>
  <c r="R131" i="9"/>
  <c r="R119" i="9"/>
  <c r="R118" i="9"/>
  <c r="R117" i="9"/>
  <c r="R116" i="9"/>
  <c r="R115" i="9"/>
  <c r="R114" i="9"/>
  <c r="R113" i="9"/>
  <c r="R112" i="9"/>
  <c r="R111" i="9"/>
  <c r="R110" i="9"/>
  <c r="R109" i="9"/>
  <c r="R108" i="9"/>
  <c r="R107" i="9"/>
  <c r="R106" i="9"/>
  <c r="R101" i="9"/>
  <c r="R100" i="9"/>
  <c r="R99" i="9"/>
  <c r="R98" i="9"/>
  <c r="R97" i="9"/>
  <c r="R96" i="9"/>
  <c r="R95" i="9"/>
  <c r="R94" i="9"/>
  <c r="R93" i="9"/>
  <c r="R92" i="9"/>
  <c r="R90" i="9"/>
  <c r="R85" i="9"/>
  <c r="R84" i="9"/>
  <c r="R83" i="9"/>
  <c r="R82" i="9"/>
  <c r="R81" i="9"/>
  <c r="R80" i="9"/>
  <c r="R79" i="9"/>
  <c r="R78" i="9"/>
  <c r="R77" i="9"/>
  <c r="R76" i="9"/>
  <c r="R75" i="9"/>
  <c r="R74" i="9"/>
  <c r="R73" i="9"/>
  <c r="R72" i="9"/>
  <c r="R71" i="9"/>
  <c r="R70" i="9"/>
  <c r="R69" i="9"/>
  <c r="R68" i="9"/>
  <c r="R67" i="9"/>
  <c r="R66" i="9"/>
  <c r="R65" i="9"/>
  <c r="R49" i="9"/>
  <c r="R47" i="9"/>
  <c r="R45" i="9"/>
  <c r="R36" i="9"/>
  <c r="R33" i="9"/>
  <c r="R31" i="9"/>
  <c r="R27" i="9"/>
  <c r="R26" i="9"/>
  <c r="R23" i="9"/>
  <c r="R20" i="9"/>
  <c r="R18" i="9"/>
  <c r="R16" i="9"/>
  <c r="R14" i="9"/>
  <c r="T239" i="9"/>
  <c r="T179" i="9"/>
  <c r="T176" i="9"/>
  <c r="T175" i="9"/>
  <c r="T174" i="9"/>
  <c r="T173" i="9"/>
  <c r="T172" i="9"/>
  <c r="T171" i="9"/>
  <c r="T170" i="9"/>
  <c r="T169" i="9"/>
  <c r="T168" i="9"/>
  <c r="T167" i="9"/>
  <c r="T166" i="9"/>
  <c r="T165" i="9"/>
  <c r="T164" i="9"/>
  <c r="T163" i="9"/>
  <c r="T162" i="9"/>
  <c r="T161" i="9"/>
  <c r="T160" i="9"/>
  <c r="T158" i="9"/>
  <c r="T157" i="9"/>
  <c r="T156" i="9"/>
  <c r="T155" i="9"/>
  <c r="T154" i="9"/>
  <c r="T153" i="9"/>
  <c r="T152" i="9"/>
  <c r="T151" i="9"/>
  <c r="T150" i="9"/>
  <c r="T149" i="9"/>
  <c r="T146" i="9"/>
  <c r="T144" i="9"/>
  <c r="T143" i="9"/>
  <c r="T142" i="9"/>
  <c r="T141" i="9"/>
  <c r="T140" i="9"/>
  <c r="T139" i="9"/>
  <c r="T138" i="9"/>
  <c r="T136" i="9"/>
  <c r="T135" i="9"/>
  <c r="T134" i="9"/>
  <c r="T133" i="9"/>
  <c r="T132" i="9"/>
  <c r="T89" i="9"/>
  <c r="T88" i="9"/>
  <c r="T50" i="9"/>
  <c r="T48" i="9"/>
  <c r="T46" i="9"/>
  <c r="S121" i="10"/>
  <c r="S120" i="10"/>
  <c r="S119" i="10"/>
  <c r="S118" i="10"/>
  <c r="S117" i="10"/>
  <c r="S116" i="10"/>
  <c r="S115" i="10"/>
  <c r="S114" i="10"/>
  <c r="S113" i="10"/>
  <c r="S112" i="10"/>
  <c r="S111" i="10"/>
  <c r="S110" i="10"/>
  <c r="S109" i="10"/>
  <c r="S108" i="10"/>
  <c r="S107" i="10"/>
  <c r="S106" i="10"/>
  <c r="S105" i="10"/>
  <c r="S104" i="10"/>
  <c r="S103" i="10"/>
  <c r="S102" i="10"/>
  <c r="S101" i="10"/>
  <c r="S100" i="10"/>
  <c r="S99" i="10"/>
  <c r="S98" i="10"/>
  <c r="S97" i="10"/>
  <c r="S96" i="10"/>
  <c r="S95" i="10"/>
  <c r="S94" i="10"/>
  <c r="S93" i="10"/>
  <c r="S92" i="10"/>
  <c r="S91" i="10"/>
  <c r="S90" i="10"/>
  <c r="S89" i="10"/>
  <c r="S88" i="10"/>
  <c r="S84" i="10"/>
  <c r="S83" i="10"/>
  <c r="S82" i="10"/>
  <c r="S81" i="10"/>
  <c r="S80" i="10"/>
  <c r="S79" i="10"/>
  <c r="S76" i="10"/>
  <c r="S75" i="10"/>
  <c r="S74" i="10"/>
  <c r="S73" i="10"/>
  <c r="S72" i="10"/>
  <c r="S71" i="10"/>
  <c r="S70" i="10"/>
  <c r="S69" i="10"/>
  <c r="S68" i="10"/>
  <c r="S67" i="10"/>
  <c r="S66" i="10"/>
  <c r="S65" i="10"/>
  <c r="S64" i="10"/>
  <c r="S63" i="10"/>
  <c r="S62" i="10"/>
  <c r="S59" i="10"/>
  <c r="S58" i="10"/>
  <c r="S57" i="10"/>
  <c r="S56" i="10"/>
  <c r="S55" i="10"/>
  <c r="S54" i="10"/>
  <c r="S50" i="10"/>
  <c r="S49" i="10"/>
  <c r="S48" i="10"/>
  <c r="S47" i="10"/>
  <c r="S46" i="10"/>
  <c r="S44" i="10"/>
  <c r="S43" i="10"/>
  <c r="S36" i="10"/>
  <c r="S35" i="10"/>
  <c r="S34" i="10"/>
  <c r="S33" i="10"/>
  <c r="S30" i="10"/>
  <c r="S22" i="10"/>
  <c r="S21" i="10"/>
  <c r="S20" i="10"/>
  <c r="S19" i="10"/>
  <c r="S18" i="10"/>
  <c r="S17" i="10"/>
  <c r="S16" i="10"/>
  <c r="S15" i="10"/>
  <c r="R121" i="10"/>
  <c r="R120" i="10"/>
  <c r="R119" i="10"/>
  <c r="R118" i="10"/>
  <c r="R117" i="10"/>
  <c r="R116" i="10"/>
  <c r="R115" i="10"/>
  <c r="R114" i="10"/>
  <c r="R113" i="10"/>
  <c r="R112" i="10"/>
  <c r="R111" i="10"/>
  <c r="R110" i="10"/>
  <c r="R109" i="10"/>
  <c r="R108" i="10"/>
  <c r="R107" i="10"/>
  <c r="R106" i="10"/>
  <c r="R105" i="10"/>
  <c r="R104" i="10"/>
  <c r="R103" i="10"/>
  <c r="R102" i="10"/>
  <c r="R101" i="10"/>
  <c r="R100" i="10"/>
  <c r="R99" i="10"/>
  <c r="R98" i="10"/>
  <c r="R97" i="10"/>
  <c r="R96" i="10"/>
  <c r="R95" i="10"/>
  <c r="R94" i="10"/>
  <c r="R93" i="10"/>
  <c r="R92" i="10"/>
  <c r="R91" i="10"/>
  <c r="R90" i="10"/>
  <c r="R89" i="10"/>
  <c r="R88" i="10"/>
  <c r="R84" i="10"/>
  <c r="R83" i="10"/>
  <c r="R82" i="10"/>
  <c r="R81" i="10"/>
  <c r="R80" i="10"/>
  <c r="R79" i="10"/>
  <c r="R76" i="10"/>
  <c r="R75" i="10"/>
  <c r="R74" i="10"/>
  <c r="R73" i="10"/>
  <c r="R72" i="10"/>
  <c r="R71" i="10"/>
  <c r="R70" i="10"/>
  <c r="R69" i="10"/>
  <c r="R68" i="10"/>
  <c r="R67" i="10"/>
  <c r="R66" i="10"/>
  <c r="R65" i="10"/>
  <c r="R64" i="10"/>
  <c r="R63" i="10"/>
  <c r="R62" i="10"/>
  <c r="R59" i="10"/>
  <c r="R58" i="10"/>
  <c r="R57" i="10"/>
  <c r="R56" i="10"/>
  <c r="R55" i="10"/>
  <c r="R54" i="10"/>
  <c r="R50" i="10"/>
  <c r="R49" i="10"/>
  <c r="R48" i="10"/>
  <c r="R47" i="10"/>
  <c r="R46" i="10"/>
  <c r="R44" i="10"/>
  <c r="R43" i="10"/>
  <c r="R36" i="10"/>
  <c r="R35" i="10"/>
  <c r="R34" i="10"/>
  <c r="R33" i="10"/>
  <c r="R30" i="10"/>
  <c r="R22" i="10"/>
  <c r="R21" i="10"/>
  <c r="R20" i="10"/>
  <c r="R19" i="10"/>
  <c r="R18" i="10"/>
  <c r="R17" i="10"/>
  <c r="R16" i="10"/>
  <c r="R15" i="10"/>
  <c r="Q121" i="10"/>
  <c r="Q120" i="10"/>
  <c r="Q119" i="10"/>
  <c r="Q118" i="10"/>
  <c r="Q117" i="10"/>
  <c r="Q116" i="10"/>
  <c r="Q115" i="10"/>
  <c r="Q114" i="10"/>
  <c r="Q113" i="10"/>
  <c r="Q112" i="10"/>
  <c r="Q111" i="10"/>
  <c r="Q110" i="10"/>
  <c r="Q109" i="10"/>
  <c r="Q108" i="10"/>
  <c r="Q107" i="10"/>
  <c r="Q106" i="10"/>
  <c r="Q105" i="10"/>
  <c r="Q104" i="10"/>
  <c r="Q103" i="10"/>
  <c r="Q102" i="10"/>
  <c r="Q101" i="10"/>
  <c r="Q100" i="10"/>
  <c r="Q99" i="10"/>
  <c r="Q98" i="10"/>
  <c r="Q97" i="10"/>
  <c r="Q96" i="10"/>
  <c r="Q95" i="10"/>
  <c r="Q94" i="10"/>
  <c r="Q93" i="10"/>
  <c r="Q92" i="10"/>
  <c r="Q91" i="10"/>
  <c r="Q90" i="10"/>
  <c r="Q89" i="10"/>
  <c r="Q88" i="10"/>
  <c r="Q84" i="10"/>
  <c r="Q83" i="10"/>
  <c r="Q82" i="10"/>
  <c r="Q81" i="10"/>
  <c r="Q80" i="10"/>
  <c r="Q79" i="10"/>
  <c r="Q76" i="10"/>
  <c r="Q75" i="10"/>
  <c r="Q74" i="10"/>
  <c r="Q73" i="10"/>
  <c r="Q72" i="10"/>
  <c r="Q71" i="10"/>
  <c r="Q70" i="10"/>
  <c r="Q69" i="10"/>
  <c r="Q68" i="10"/>
  <c r="Q67" i="10"/>
  <c r="Q66" i="10"/>
  <c r="Q65" i="10"/>
  <c r="Q64" i="10"/>
  <c r="Q63" i="10"/>
  <c r="Q62" i="10"/>
  <c r="Q59" i="10"/>
  <c r="Q58" i="10"/>
  <c r="Q57" i="10"/>
  <c r="Q56" i="10"/>
  <c r="Q55" i="10"/>
  <c r="Q54" i="10"/>
  <c r="Q50" i="10"/>
  <c r="Q49" i="10"/>
  <c r="Q48" i="10"/>
  <c r="Q47" i="10"/>
  <c r="Q46" i="10"/>
  <c r="Q44" i="10"/>
  <c r="Q43" i="10"/>
  <c r="Q36" i="10"/>
  <c r="Q35" i="10"/>
  <c r="Q34" i="10"/>
  <c r="Q33" i="10"/>
  <c r="Q30" i="10"/>
  <c r="Q22" i="10"/>
  <c r="Q21" i="10"/>
  <c r="Q20" i="10"/>
  <c r="Q19" i="10"/>
  <c r="Q18" i="10"/>
  <c r="Q17" i="10"/>
  <c r="Q16" i="10"/>
  <c r="Q15" i="10"/>
  <c r="S46" i="1"/>
  <c r="R76" i="1"/>
  <c r="S76" i="1" s="1"/>
  <c r="R72" i="1"/>
  <c r="S72" i="1" s="1"/>
  <c r="R32" i="1"/>
  <c r="S32" i="1" s="1"/>
  <c r="Q361" i="1"/>
  <c r="R361" i="1" s="1"/>
  <c r="S361" i="1" s="1"/>
  <c r="Q318" i="1"/>
  <c r="R318" i="1" s="1"/>
  <c r="S318" i="1" s="1"/>
  <c r="Q290" i="1"/>
  <c r="R290" i="1" s="1"/>
  <c r="S290" i="1" s="1"/>
  <c r="Q277" i="1"/>
  <c r="R277" i="1" s="1"/>
  <c r="S277" i="1" s="1"/>
  <c r="Q269" i="1"/>
  <c r="R269" i="1" s="1"/>
  <c r="S269" i="1" s="1"/>
  <c r="Q221" i="1"/>
  <c r="R221" i="1" s="1"/>
  <c r="S221" i="1" s="1"/>
  <c r="Q197" i="1"/>
  <c r="R197" i="1" s="1"/>
  <c r="S197" i="1" s="1"/>
  <c r="Q189" i="1"/>
  <c r="R189" i="1" s="1"/>
  <c r="S189" i="1" s="1"/>
  <c r="Q168" i="1"/>
  <c r="R168" i="1" s="1"/>
  <c r="S168" i="1" s="1"/>
  <c r="Q160" i="1"/>
  <c r="R160" i="1" s="1"/>
  <c r="S160" i="1" s="1"/>
  <c r="Q157" i="1"/>
  <c r="R157" i="1" s="1"/>
  <c r="S157" i="1" s="1"/>
  <c r="Q144" i="1"/>
  <c r="R144" i="1" s="1"/>
  <c r="S144" i="1" s="1"/>
  <c r="Q135" i="1"/>
  <c r="R135" i="1" s="1"/>
  <c r="S135" i="1" s="1"/>
  <c r="Q115" i="1"/>
  <c r="R115" i="1" s="1"/>
  <c r="S115" i="1" s="1"/>
  <c r="Q76" i="1"/>
  <c r="Q74" i="1"/>
  <c r="R74" i="1" s="1"/>
  <c r="S74" i="1" s="1"/>
  <c r="Q73" i="1"/>
  <c r="R73" i="1" s="1"/>
  <c r="S73" i="1" s="1"/>
  <c r="Q72" i="1"/>
  <c r="Q70" i="1"/>
  <c r="R70" i="1" s="1"/>
  <c r="S70" i="1" s="1"/>
  <c r="Q62" i="1"/>
  <c r="R62" i="1" s="1"/>
  <c r="S62" i="1" s="1"/>
  <c r="Q54" i="1"/>
  <c r="R54" i="1" s="1"/>
  <c r="S54" i="1" s="1"/>
  <c r="Q46" i="1"/>
  <c r="R46" i="1" s="1"/>
  <c r="Q32" i="1"/>
  <c r="Q21" i="1"/>
  <c r="R21" i="1" s="1"/>
  <c r="S21" i="1" s="1"/>
  <c r="S349" i="1"/>
  <c r="S346" i="1"/>
  <c r="P121" i="10"/>
  <c r="P120" i="10"/>
  <c r="P119" i="10"/>
  <c r="P118" i="10"/>
  <c r="P117" i="10"/>
  <c r="P116" i="10"/>
  <c r="P115" i="10"/>
  <c r="P114" i="10"/>
  <c r="P113" i="10"/>
  <c r="P112" i="10"/>
  <c r="P111" i="10"/>
  <c r="P110" i="10"/>
  <c r="P109" i="10"/>
  <c r="P108" i="10"/>
  <c r="P107" i="10"/>
  <c r="P106" i="10"/>
  <c r="P105" i="10"/>
  <c r="P104" i="10"/>
  <c r="P103" i="10"/>
  <c r="P102" i="10"/>
  <c r="P101" i="10"/>
  <c r="P100" i="10"/>
  <c r="P99" i="10"/>
  <c r="P98" i="10"/>
  <c r="P97" i="10"/>
  <c r="P96" i="10"/>
  <c r="P95" i="10"/>
  <c r="P94" i="10"/>
  <c r="P93" i="10"/>
  <c r="P92" i="10"/>
  <c r="P91" i="10"/>
  <c r="P90" i="10"/>
  <c r="P89" i="10"/>
  <c r="P88" i="10"/>
  <c r="P84" i="10"/>
  <c r="P83" i="10"/>
  <c r="P82" i="10"/>
  <c r="P81" i="10"/>
  <c r="P80" i="10"/>
  <c r="P79" i="10"/>
  <c r="P76" i="10"/>
  <c r="P75" i="10"/>
  <c r="P74" i="10"/>
  <c r="P73" i="10"/>
  <c r="P72" i="10"/>
  <c r="P71" i="10"/>
  <c r="P70" i="10"/>
  <c r="P69" i="10"/>
  <c r="P68" i="10"/>
  <c r="P67" i="10"/>
  <c r="P66" i="10"/>
  <c r="P65" i="10"/>
  <c r="P64" i="10"/>
  <c r="P63" i="10"/>
  <c r="P62" i="10"/>
  <c r="P59" i="10"/>
  <c r="P58" i="10"/>
  <c r="P57" i="10"/>
  <c r="P56" i="10"/>
  <c r="P55" i="10"/>
  <c r="P54" i="10"/>
  <c r="P50" i="10"/>
  <c r="P49" i="10"/>
  <c r="P48" i="10"/>
  <c r="P47" i="10"/>
  <c r="P46" i="10"/>
  <c r="P44" i="10"/>
  <c r="P43" i="10"/>
  <c r="P36" i="10"/>
  <c r="P35" i="10"/>
  <c r="P34" i="10"/>
  <c r="P33" i="10"/>
  <c r="P30" i="10"/>
  <c r="P22" i="10"/>
  <c r="P21" i="10"/>
  <c r="P20" i="10"/>
  <c r="P19" i="10"/>
  <c r="P18" i="10"/>
  <c r="P17" i="10"/>
  <c r="P16" i="10"/>
  <c r="P15" i="10"/>
  <c r="Q362" i="1"/>
  <c r="R362" i="1" s="1"/>
  <c r="S362" i="1" s="1"/>
  <c r="Q350" i="1"/>
  <c r="R350" i="1" s="1"/>
  <c r="S350" i="1" s="1"/>
  <c r="Q349" i="1"/>
  <c r="R349" i="1" s="1"/>
  <c r="Q348" i="1"/>
  <c r="R348" i="1" s="1"/>
  <c r="S348" i="1" s="1"/>
  <c r="R347" i="1"/>
  <c r="S347" i="1" s="1"/>
  <c r="Q347" i="1"/>
  <c r="Q346" i="1"/>
  <c r="R346" i="1" s="1"/>
  <c r="Q345" i="1"/>
  <c r="R345" i="1" s="1"/>
  <c r="S345" i="1" s="1"/>
  <c r="P361" i="1"/>
  <c r="P135" i="1"/>
  <c r="P76" i="1"/>
  <c r="P74" i="1"/>
  <c r="P73" i="1"/>
  <c r="P72" i="1"/>
  <c r="P70" i="1"/>
  <c r="P46" i="1"/>
  <c r="D16" i="9"/>
  <c r="D20" i="9"/>
  <c r="D65" i="9"/>
  <c r="S239" i="9"/>
  <c r="S179" i="9"/>
  <c r="S176" i="9"/>
  <c r="S175" i="9"/>
  <c r="S174" i="9"/>
  <c r="S173" i="9"/>
  <c r="S172" i="9"/>
  <c r="S171" i="9"/>
  <c r="S170" i="9"/>
  <c r="S169" i="9"/>
  <c r="S168" i="9"/>
  <c r="S167" i="9"/>
  <c r="S166" i="9"/>
  <c r="S165" i="9"/>
  <c r="S164" i="9"/>
  <c r="S163" i="9"/>
  <c r="S162" i="9"/>
  <c r="S161" i="9"/>
  <c r="S160" i="9"/>
  <c r="S158" i="9"/>
  <c r="S157" i="9"/>
  <c r="S156" i="9"/>
  <c r="S155" i="9"/>
  <c r="S154" i="9"/>
  <c r="S153" i="9"/>
  <c r="S152" i="9"/>
  <c r="S151" i="9"/>
  <c r="S150" i="9"/>
  <c r="S149" i="9"/>
  <c r="S146" i="9"/>
  <c r="S144" i="9"/>
  <c r="S143" i="9"/>
  <c r="S142" i="9"/>
  <c r="S141" i="9"/>
  <c r="S140" i="9"/>
  <c r="S139" i="9"/>
  <c r="S138" i="9"/>
  <c r="S136" i="9"/>
  <c r="S135" i="9"/>
  <c r="S134" i="9"/>
  <c r="S133" i="9"/>
  <c r="S132" i="9"/>
  <c r="S50" i="9"/>
  <c r="S48" i="9"/>
  <c r="S46" i="9"/>
  <c r="R48" i="9"/>
  <c r="R50" i="9"/>
  <c r="O85" i="9"/>
  <c r="O84" i="9"/>
  <c r="O82" i="9"/>
  <c r="P82" i="9" s="1"/>
  <c r="Q82" i="9" s="1"/>
  <c r="O81" i="9"/>
  <c r="O80" i="9"/>
  <c r="P80" i="9" s="1"/>
  <c r="Q80" i="9" s="1"/>
  <c r="O79" i="9"/>
  <c r="P79" i="9" s="1"/>
  <c r="Q79" i="9" s="1"/>
  <c r="O78" i="9"/>
  <c r="O77" i="9"/>
  <c r="O76" i="9"/>
  <c r="O75" i="9"/>
  <c r="O74" i="9"/>
  <c r="P74" i="9" s="1"/>
  <c r="Q74" i="9" s="1"/>
  <c r="O72" i="9"/>
  <c r="O71" i="9"/>
  <c r="P71" i="9" s="1"/>
  <c r="Q71" i="9" s="1"/>
  <c r="O70" i="9"/>
  <c r="P70" i="9" s="1"/>
  <c r="Q70" i="9" s="1"/>
  <c r="O69" i="9"/>
  <c r="O68" i="9"/>
  <c r="O67" i="9"/>
  <c r="O66" i="9"/>
  <c r="O65" i="9"/>
  <c r="P65" i="9" s="1"/>
  <c r="Q65" i="9" s="1"/>
  <c r="O49" i="9"/>
  <c r="O47" i="9"/>
  <c r="P47" i="9" s="1"/>
  <c r="Q47" i="9" s="1"/>
  <c r="O45" i="9"/>
  <c r="P45" i="9" s="1"/>
  <c r="Q45" i="9" s="1"/>
  <c r="O36" i="9"/>
  <c r="O33" i="9"/>
  <c r="O31" i="9"/>
  <c r="O27" i="9"/>
  <c r="O26" i="9"/>
  <c r="P26" i="9" s="1"/>
  <c r="Q26" i="9" s="1"/>
  <c r="O23" i="9"/>
  <c r="O20" i="9"/>
  <c r="P20" i="9" s="1"/>
  <c r="Q20" i="9" s="1"/>
  <c r="O18" i="9"/>
  <c r="P18" i="9" s="1"/>
  <c r="Q18" i="9" s="1"/>
  <c r="O16" i="9"/>
  <c r="O14" i="9"/>
  <c r="P250" i="9"/>
  <c r="Q250" i="9" s="1"/>
  <c r="P249" i="9"/>
  <c r="P248" i="9"/>
  <c r="P247" i="9"/>
  <c r="P244" i="9"/>
  <c r="P243" i="9"/>
  <c r="P242" i="9"/>
  <c r="Q242" i="9" s="1"/>
  <c r="P238" i="9"/>
  <c r="Q238" i="9" s="1"/>
  <c r="P235" i="9"/>
  <c r="Q235" i="9" s="1"/>
  <c r="P234" i="9"/>
  <c r="P230" i="9"/>
  <c r="P229" i="9"/>
  <c r="P228" i="9"/>
  <c r="P227" i="9"/>
  <c r="P226" i="9"/>
  <c r="Q226" i="9" s="1"/>
  <c r="P225" i="9"/>
  <c r="Q225" i="9" s="1"/>
  <c r="P224" i="9"/>
  <c r="Q224" i="9" s="1"/>
  <c r="P223" i="9"/>
  <c r="P218" i="9"/>
  <c r="P217" i="9"/>
  <c r="P216" i="9"/>
  <c r="P215" i="9"/>
  <c r="P214" i="9"/>
  <c r="Q214" i="9" s="1"/>
  <c r="P213" i="9"/>
  <c r="Q213" i="9" s="1"/>
  <c r="P204" i="9"/>
  <c r="Q204" i="9" s="1"/>
  <c r="P203" i="9"/>
  <c r="P202" i="9"/>
  <c r="P201" i="9"/>
  <c r="P200" i="9"/>
  <c r="P199" i="9"/>
  <c r="P198" i="9"/>
  <c r="Q198" i="9" s="1"/>
  <c r="P195" i="9"/>
  <c r="Q195" i="9" s="1"/>
  <c r="P194" i="9"/>
  <c r="Q194" i="9" s="1"/>
  <c r="P193" i="9"/>
  <c r="P192" i="9"/>
  <c r="P191" i="9"/>
  <c r="P190" i="9"/>
  <c r="P188" i="9"/>
  <c r="P187" i="9"/>
  <c r="Q187" i="9" s="1"/>
  <c r="P186" i="9"/>
  <c r="Q186" i="9" s="1"/>
  <c r="P185" i="9"/>
  <c r="Q185" i="9" s="1"/>
  <c r="P182" i="9"/>
  <c r="P181" i="9"/>
  <c r="P180" i="9"/>
  <c r="P179" i="9"/>
  <c r="P176" i="9"/>
  <c r="P175" i="9"/>
  <c r="Q175" i="9" s="1"/>
  <c r="R175" i="9" s="1"/>
  <c r="P174" i="9"/>
  <c r="Q174" i="9" s="1"/>
  <c r="R174" i="9" s="1"/>
  <c r="P173" i="9"/>
  <c r="Q173" i="9" s="1"/>
  <c r="R173" i="9" s="1"/>
  <c r="P172" i="9"/>
  <c r="P171" i="9"/>
  <c r="P170" i="9"/>
  <c r="P169" i="9"/>
  <c r="P168" i="9"/>
  <c r="P167" i="9"/>
  <c r="Q167" i="9" s="1"/>
  <c r="R167" i="9" s="1"/>
  <c r="P166" i="9"/>
  <c r="Q166" i="9" s="1"/>
  <c r="R166" i="9" s="1"/>
  <c r="P165" i="9"/>
  <c r="Q165" i="9" s="1"/>
  <c r="R165" i="9" s="1"/>
  <c r="P164" i="9"/>
  <c r="P163" i="9"/>
  <c r="P162" i="9"/>
  <c r="P161" i="9"/>
  <c r="P160" i="9"/>
  <c r="P158" i="9"/>
  <c r="Q158" i="9" s="1"/>
  <c r="R158" i="9" s="1"/>
  <c r="P157" i="9"/>
  <c r="Q157" i="9" s="1"/>
  <c r="R157" i="9" s="1"/>
  <c r="P156" i="9"/>
  <c r="Q156" i="9" s="1"/>
  <c r="R156" i="9" s="1"/>
  <c r="P155" i="9"/>
  <c r="P154" i="9"/>
  <c r="P153" i="9"/>
  <c r="P152" i="9"/>
  <c r="P151" i="9"/>
  <c r="P150" i="9"/>
  <c r="Q150" i="9" s="1"/>
  <c r="R150" i="9" s="1"/>
  <c r="P149" i="9"/>
  <c r="Q149" i="9" s="1"/>
  <c r="R149" i="9" s="1"/>
  <c r="P146" i="9"/>
  <c r="Q146" i="9" s="1"/>
  <c r="R146" i="9" s="1"/>
  <c r="P144" i="9"/>
  <c r="P143" i="9"/>
  <c r="P142" i="9"/>
  <c r="P141" i="9"/>
  <c r="P140" i="9"/>
  <c r="P139" i="9"/>
  <c r="Q139" i="9" s="1"/>
  <c r="R139" i="9" s="1"/>
  <c r="P138" i="9"/>
  <c r="Q138" i="9" s="1"/>
  <c r="R138" i="9" s="1"/>
  <c r="P136" i="9"/>
  <c r="Q136" i="9" s="1"/>
  <c r="R136" i="9" s="1"/>
  <c r="P135" i="9"/>
  <c r="P134" i="9"/>
  <c r="P133" i="9"/>
  <c r="P132" i="9"/>
  <c r="P131" i="9"/>
  <c r="P119" i="9"/>
  <c r="Q119" i="9" s="1"/>
  <c r="P118" i="9"/>
  <c r="Q118" i="9" s="1"/>
  <c r="P117" i="9"/>
  <c r="Q117" i="9" s="1"/>
  <c r="P116" i="9"/>
  <c r="P115" i="9"/>
  <c r="P114" i="9"/>
  <c r="P113" i="9"/>
  <c r="P112" i="9"/>
  <c r="P111" i="9"/>
  <c r="Q111" i="9" s="1"/>
  <c r="P110" i="9"/>
  <c r="Q110" i="9" s="1"/>
  <c r="P109" i="9"/>
  <c r="Q109" i="9" s="1"/>
  <c r="P108" i="9"/>
  <c r="P107" i="9"/>
  <c r="P106" i="9"/>
  <c r="P101" i="9"/>
  <c r="P100" i="9"/>
  <c r="P99" i="9"/>
  <c r="Q99" i="9" s="1"/>
  <c r="P98" i="9"/>
  <c r="Q98" i="9" s="1"/>
  <c r="P97" i="9"/>
  <c r="Q97" i="9" s="1"/>
  <c r="P96" i="9"/>
  <c r="P95" i="9"/>
  <c r="P93" i="9"/>
  <c r="P92" i="9"/>
  <c r="P90" i="9"/>
  <c r="Q90" i="9" s="1"/>
  <c r="P85" i="9"/>
  <c r="Q85" i="9" s="1"/>
  <c r="P84" i="9"/>
  <c r="Q84" i="9" s="1"/>
  <c r="P81" i="9"/>
  <c r="Q81" i="9" s="1"/>
  <c r="P78" i="9"/>
  <c r="Q78" i="9" s="1"/>
  <c r="P77" i="9"/>
  <c r="Q77" i="9" s="1"/>
  <c r="P76" i="9"/>
  <c r="Q76" i="9" s="1"/>
  <c r="P75" i="9"/>
  <c r="Q75" i="9" s="1"/>
  <c r="P72" i="9"/>
  <c r="Q72" i="9" s="1"/>
  <c r="P69" i="9"/>
  <c r="Q69" i="9" s="1"/>
  <c r="P68" i="9"/>
  <c r="Q68" i="9" s="1"/>
  <c r="P67" i="9"/>
  <c r="Q67" i="9" s="1"/>
  <c r="P66" i="9"/>
  <c r="Q66" i="9" s="1"/>
  <c r="P49" i="9"/>
  <c r="Q49" i="9" s="1"/>
  <c r="P36" i="9"/>
  <c r="Q36" i="9" s="1"/>
  <c r="P33" i="9"/>
  <c r="Q33" i="9" s="1"/>
  <c r="P31" i="9"/>
  <c r="Q31" i="9" s="1"/>
  <c r="P27" i="9"/>
  <c r="Q27" i="9" s="1"/>
  <c r="P23" i="9"/>
  <c r="Q23" i="9" s="1"/>
  <c r="P16" i="9"/>
  <c r="Q16" i="9" s="1"/>
  <c r="P14" i="9"/>
  <c r="Q14" i="9" s="1"/>
  <c r="R239" i="9"/>
  <c r="R176" i="9"/>
  <c r="R168" i="9"/>
  <c r="R160" i="9"/>
  <c r="R151" i="9"/>
  <c r="R140" i="9"/>
  <c r="R46" i="9"/>
  <c r="O121" i="10"/>
  <c r="O120" i="10"/>
  <c r="O119" i="10"/>
  <c r="O118" i="10"/>
  <c r="O117" i="10"/>
  <c r="O114" i="10"/>
  <c r="O113" i="10"/>
  <c r="O112" i="10"/>
  <c r="O111" i="10"/>
  <c r="O110" i="10"/>
  <c r="O109" i="10"/>
  <c r="O108" i="10"/>
  <c r="O107" i="10"/>
  <c r="O106" i="10"/>
  <c r="O105" i="10"/>
  <c r="O104" i="10"/>
  <c r="O103" i="10"/>
  <c r="O102" i="10"/>
  <c r="O101" i="10"/>
  <c r="O100" i="10"/>
  <c r="O99" i="10"/>
  <c r="O98" i="10"/>
  <c r="O97" i="10"/>
  <c r="O96" i="10"/>
  <c r="O95" i="10"/>
  <c r="O94" i="10"/>
  <c r="O93" i="10"/>
  <c r="O92" i="10"/>
  <c r="O91" i="10"/>
  <c r="O90" i="10"/>
  <c r="O89" i="10"/>
  <c r="O88" i="10"/>
  <c r="O84" i="10"/>
  <c r="O83" i="10"/>
  <c r="O82" i="10"/>
  <c r="O81" i="10"/>
  <c r="O80" i="10"/>
  <c r="O79" i="10"/>
  <c r="O76" i="10"/>
  <c r="O75" i="10"/>
  <c r="O74" i="10"/>
  <c r="O73" i="10"/>
  <c r="O70" i="10"/>
  <c r="O69" i="10"/>
  <c r="O68" i="10"/>
  <c r="O67" i="10"/>
  <c r="O66" i="10"/>
  <c r="O65" i="10"/>
  <c r="O64" i="10"/>
  <c r="O63" i="10"/>
  <c r="O62" i="10"/>
  <c r="O59" i="10"/>
  <c r="O58" i="10"/>
  <c r="O57" i="10"/>
  <c r="O54" i="10"/>
  <c r="O50" i="10"/>
  <c r="O49" i="10"/>
  <c r="O48" i="10"/>
  <c r="O47" i="10"/>
  <c r="O46" i="10"/>
  <c r="O44" i="10"/>
  <c r="O43" i="10"/>
  <c r="O36" i="10"/>
  <c r="O35" i="10"/>
  <c r="O34" i="10"/>
  <c r="O33" i="10"/>
  <c r="O30" i="10"/>
  <c r="O22" i="10"/>
  <c r="O21" i="10"/>
  <c r="O20" i="10"/>
  <c r="O19" i="10"/>
  <c r="O18" i="10"/>
  <c r="O17" i="10"/>
  <c r="O16" i="10"/>
  <c r="O15" i="10"/>
  <c r="N121" i="10"/>
  <c r="N120" i="10"/>
  <c r="N119" i="10"/>
  <c r="N118" i="10"/>
  <c r="N117" i="10"/>
  <c r="N114" i="10"/>
  <c r="N113" i="10"/>
  <c r="N112" i="10"/>
  <c r="N111" i="10"/>
  <c r="N110" i="10"/>
  <c r="N109" i="10"/>
  <c r="N108" i="10"/>
  <c r="N107" i="10"/>
  <c r="N106" i="10"/>
  <c r="N105" i="10"/>
  <c r="N104" i="10"/>
  <c r="N103" i="10"/>
  <c r="N102" i="10"/>
  <c r="N101" i="10"/>
  <c r="N100" i="10"/>
  <c r="N99" i="10"/>
  <c r="N98" i="10"/>
  <c r="N97" i="10"/>
  <c r="N96" i="10"/>
  <c r="N95" i="10"/>
  <c r="N94" i="10"/>
  <c r="N93" i="10"/>
  <c r="N92" i="10"/>
  <c r="N91" i="10"/>
  <c r="N90" i="10"/>
  <c r="N89" i="10"/>
  <c r="N88" i="10"/>
  <c r="N84" i="10"/>
  <c r="N83" i="10"/>
  <c r="N82" i="10"/>
  <c r="N81" i="10"/>
  <c r="N80" i="10"/>
  <c r="N79" i="10"/>
  <c r="N76" i="10"/>
  <c r="N75" i="10"/>
  <c r="N74" i="10"/>
  <c r="N73" i="10"/>
  <c r="N70" i="10"/>
  <c r="N69" i="10"/>
  <c r="N68" i="10"/>
  <c r="N67" i="10"/>
  <c r="N66" i="10"/>
  <c r="N65" i="10"/>
  <c r="N64" i="10"/>
  <c r="N63" i="10"/>
  <c r="N62" i="10"/>
  <c r="N59" i="10"/>
  <c r="N58" i="10"/>
  <c r="N57" i="10"/>
  <c r="N54" i="10"/>
  <c r="N50" i="10"/>
  <c r="N49" i="10"/>
  <c r="N48" i="10"/>
  <c r="N47" i="10"/>
  <c r="N46" i="10"/>
  <c r="N44" i="10"/>
  <c r="N43" i="10"/>
  <c r="N36" i="10"/>
  <c r="N35" i="10"/>
  <c r="N34" i="10"/>
  <c r="N33" i="10"/>
  <c r="N30" i="10"/>
  <c r="N22" i="10"/>
  <c r="N21" i="10"/>
  <c r="N20" i="10"/>
  <c r="N19" i="10"/>
  <c r="N18" i="10"/>
  <c r="N17" i="10"/>
  <c r="N16" i="10"/>
  <c r="N15" i="10"/>
  <c r="M121" i="10"/>
  <c r="M120" i="10"/>
  <c r="M119" i="10"/>
  <c r="M118" i="10"/>
  <c r="M117" i="10"/>
  <c r="M114" i="10"/>
  <c r="M113" i="10"/>
  <c r="M112" i="10"/>
  <c r="M111" i="10"/>
  <c r="M110" i="10"/>
  <c r="M109" i="10"/>
  <c r="M108" i="10"/>
  <c r="M107" i="10"/>
  <c r="M106" i="10"/>
  <c r="M105" i="10"/>
  <c r="M104" i="10"/>
  <c r="M103" i="10"/>
  <c r="M102" i="10"/>
  <c r="M101" i="10"/>
  <c r="M100" i="10"/>
  <c r="M99" i="10"/>
  <c r="M98" i="10"/>
  <c r="M97" i="10"/>
  <c r="M96" i="10"/>
  <c r="M95" i="10"/>
  <c r="M94" i="10"/>
  <c r="M93" i="10"/>
  <c r="M92" i="10"/>
  <c r="M91" i="10"/>
  <c r="M89" i="10"/>
  <c r="M88" i="10"/>
  <c r="M84" i="10"/>
  <c r="M83" i="10"/>
  <c r="M82" i="10"/>
  <c r="M80" i="10"/>
  <c r="M79" i="10"/>
  <c r="M76" i="10"/>
  <c r="M75" i="10"/>
  <c r="M74" i="10"/>
  <c r="M73" i="10"/>
  <c r="M70" i="10"/>
  <c r="M69" i="10"/>
  <c r="M67" i="10"/>
  <c r="M65" i="10"/>
  <c r="M64" i="10"/>
  <c r="M62" i="10"/>
  <c r="M59" i="10"/>
  <c r="M58" i="10"/>
  <c r="M57" i="10"/>
  <c r="M54" i="10"/>
  <c r="M50" i="10"/>
  <c r="M49" i="10"/>
  <c r="M48" i="10"/>
  <c r="M47" i="10"/>
  <c r="M46" i="10"/>
  <c r="M44" i="10"/>
  <c r="M43" i="10"/>
  <c r="M36" i="10"/>
  <c r="M35" i="10"/>
  <c r="M34" i="10"/>
  <c r="M33" i="10"/>
  <c r="M30" i="10"/>
  <c r="M22" i="10"/>
  <c r="M21" i="10"/>
  <c r="M20" i="10"/>
  <c r="M18" i="10"/>
  <c r="M17" i="10"/>
  <c r="M16" i="10"/>
  <c r="M15" i="10"/>
  <c r="I121" i="10"/>
  <c r="J121" i="10" s="1"/>
  <c r="J120" i="10"/>
  <c r="I120" i="10"/>
  <c r="J119" i="10"/>
  <c r="I119" i="10"/>
  <c r="I118" i="10"/>
  <c r="J118" i="10" s="1"/>
  <c r="I117" i="10"/>
  <c r="J117" i="10" s="1"/>
  <c r="J114" i="10"/>
  <c r="I114" i="10"/>
  <c r="J113" i="10"/>
  <c r="I113" i="10"/>
  <c r="I112" i="10"/>
  <c r="J112" i="10" s="1"/>
  <c r="I111" i="10"/>
  <c r="J111" i="10" s="1"/>
  <c r="J110" i="10"/>
  <c r="I110" i="10"/>
  <c r="J109" i="10"/>
  <c r="I109" i="10"/>
  <c r="I108" i="10"/>
  <c r="J108" i="10" s="1"/>
  <c r="I107" i="10"/>
  <c r="J107" i="10" s="1"/>
  <c r="J106" i="10"/>
  <c r="I106" i="10"/>
  <c r="J105" i="10"/>
  <c r="I105" i="10"/>
  <c r="I104" i="10"/>
  <c r="J104" i="10" s="1"/>
  <c r="I103" i="10"/>
  <c r="J103" i="10" s="1"/>
  <c r="J102" i="10"/>
  <c r="I102" i="10"/>
  <c r="J101" i="10"/>
  <c r="I101" i="10"/>
  <c r="I100" i="10"/>
  <c r="J100" i="10" s="1"/>
  <c r="I99" i="10"/>
  <c r="J99" i="10" s="1"/>
  <c r="J98" i="10"/>
  <c r="I98" i="10"/>
  <c r="J97" i="10"/>
  <c r="I97" i="10"/>
  <c r="I96" i="10"/>
  <c r="J96" i="10" s="1"/>
  <c r="I95" i="10"/>
  <c r="J95" i="10" s="1"/>
  <c r="J94" i="10"/>
  <c r="I94" i="10"/>
  <c r="J93" i="10"/>
  <c r="I93" i="10"/>
  <c r="I92" i="10"/>
  <c r="J92" i="10" s="1"/>
  <c r="I91" i="10"/>
  <c r="J91" i="10" s="1"/>
  <c r="J89" i="10"/>
  <c r="I89" i="10"/>
  <c r="I88" i="10"/>
  <c r="J88" i="10" s="1"/>
  <c r="I84" i="10"/>
  <c r="J84" i="10" s="1"/>
  <c r="J83" i="10"/>
  <c r="I83" i="10"/>
  <c r="J82" i="10"/>
  <c r="I82" i="10"/>
  <c r="I80" i="10"/>
  <c r="J80" i="10" s="1"/>
  <c r="I79" i="10"/>
  <c r="J79" i="10" s="1"/>
  <c r="J76" i="10"/>
  <c r="I76" i="10"/>
  <c r="J75" i="10"/>
  <c r="I75" i="10"/>
  <c r="I74" i="10"/>
  <c r="J74" i="10" s="1"/>
  <c r="I73" i="10"/>
  <c r="J73" i="10" s="1"/>
  <c r="J70" i="10"/>
  <c r="I70" i="10"/>
  <c r="J69" i="10"/>
  <c r="I69" i="10"/>
  <c r="I67" i="10"/>
  <c r="J67" i="10" s="1"/>
  <c r="J65" i="10"/>
  <c r="I65" i="10"/>
  <c r="J64" i="10"/>
  <c r="I64" i="10"/>
  <c r="I62" i="10"/>
  <c r="J62" i="10" s="1"/>
  <c r="J59" i="10"/>
  <c r="I59" i="10"/>
  <c r="J58" i="10"/>
  <c r="I58" i="10"/>
  <c r="I57" i="10"/>
  <c r="J57" i="10" s="1"/>
  <c r="I54" i="10"/>
  <c r="J54" i="10" s="1"/>
  <c r="J50" i="10"/>
  <c r="I50" i="10"/>
  <c r="J49" i="10"/>
  <c r="I49" i="10"/>
  <c r="I48" i="10"/>
  <c r="J48" i="10" s="1"/>
  <c r="I47" i="10"/>
  <c r="J47" i="10" s="1"/>
  <c r="J46" i="10"/>
  <c r="I46" i="10"/>
  <c r="J44" i="10"/>
  <c r="I44" i="10"/>
  <c r="I43" i="10"/>
  <c r="J43" i="10" s="1"/>
  <c r="I36" i="10"/>
  <c r="J36" i="10" s="1"/>
  <c r="J35" i="10"/>
  <c r="I35" i="10"/>
  <c r="J34" i="10"/>
  <c r="I34" i="10"/>
  <c r="I33" i="10"/>
  <c r="J33" i="10" s="1"/>
  <c r="I30" i="10"/>
  <c r="J30" i="10" s="1"/>
  <c r="J22" i="10"/>
  <c r="I22" i="10"/>
  <c r="J21" i="10"/>
  <c r="I21" i="10"/>
  <c r="I20" i="10"/>
  <c r="J20" i="10" s="1"/>
  <c r="I18" i="10"/>
  <c r="J18" i="10" s="1"/>
  <c r="J17" i="10"/>
  <c r="I17" i="10"/>
  <c r="J16" i="10"/>
  <c r="I16" i="10"/>
  <c r="I15" i="10"/>
  <c r="J15" i="10" s="1"/>
  <c r="P346" i="1"/>
  <c r="P347" i="1"/>
  <c r="P348" i="1"/>
  <c r="P349" i="1"/>
  <c r="P345" i="1"/>
  <c r="P362" i="1"/>
  <c r="P350" i="1"/>
  <c r="O37" i="1"/>
  <c r="P37" i="1" s="1"/>
  <c r="N324" i="1"/>
  <c r="O324" i="1" s="1"/>
  <c r="P324" i="1" s="1"/>
  <c r="N322" i="1"/>
  <c r="O322" i="1" s="1"/>
  <c r="P322" i="1" s="1"/>
  <c r="N320" i="1"/>
  <c r="O320" i="1" s="1"/>
  <c r="N318" i="1"/>
  <c r="O318" i="1" s="1"/>
  <c r="P318" i="1" s="1"/>
  <c r="N316" i="1"/>
  <c r="O316" i="1" s="1"/>
  <c r="P316" i="1" s="1"/>
  <c r="N314" i="1"/>
  <c r="O314" i="1" s="1"/>
  <c r="P314" i="1" s="1"/>
  <c r="N308" i="1"/>
  <c r="O308" i="1" s="1"/>
  <c r="P308" i="1" s="1"/>
  <c r="N302" i="1"/>
  <c r="O302" i="1" s="1"/>
  <c r="N296" i="1"/>
  <c r="O296" i="1" s="1"/>
  <c r="N290" i="1"/>
  <c r="O290" i="1" s="1"/>
  <c r="P290" i="1" s="1"/>
  <c r="N284" i="1"/>
  <c r="O284" i="1" s="1"/>
  <c r="N278" i="1"/>
  <c r="O278" i="1" s="1"/>
  <c r="P278" i="1" s="1"/>
  <c r="N277" i="1"/>
  <c r="O277" i="1" s="1"/>
  <c r="P277" i="1" s="1"/>
  <c r="N275" i="1"/>
  <c r="O275" i="1" s="1"/>
  <c r="P275" i="1" s="1"/>
  <c r="N269" i="1"/>
  <c r="O269" i="1" s="1"/>
  <c r="P269" i="1" s="1"/>
  <c r="N263" i="1"/>
  <c r="O263" i="1" s="1"/>
  <c r="N257" i="1"/>
  <c r="O257" i="1" s="1"/>
  <c r="P257" i="1" s="1"/>
  <c r="N251" i="1"/>
  <c r="O251" i="1" s="1"/>
  <c r="P251" i="1" s="1"/>
  <c r="N245" i="1"/>
  <c r="O245" i="1" s="1"/>
  <c r="P245" i="1" s="1"/>
  <c r="N239" i="1"/>
  <c r="O239" i="1" s="1"/>
  <c r="P239" i="1" s="1"/>
  <c r="N233" i="1"/>
  <c r="O233" i="1" s="1"/>
  <c r="P233" i="1" s="1"/>
  <c r="N227" i="1"/>
  <c r="O227" i="1" s="1"/>
  <c r="P227" i="1" s="1"/>
  <c r="N221" i="1"/>
  <c r="O221" i="1" s="1"/>
  <c r="P221" i="1" s="1"/>
  <c r="N215" i="1"/>
  <c r="O215" i="1" s="1"/>
  <c r="N209" i="1"/>
  <c r="O209" i="1" s="1"/>
  <c r="P209" i="1" s="1"/>
  <c r="N203" i="1"/>
  <c r="O203" i="1" s="1"/>
  <c r="P203" i="1" s="1"/>
  <c r="N197" i="1"/>
  <c r="O197" i="1" s="1"/>
  <c r="P197" i="1" s="1"/>
  <c r="N196" i="1"/>
  <c r="O196" i="1" s="1"/>
  <c r="P196" i="1" s="1"/>
  <c r="N195" i="1"/>
  <c r="O195" i="1" s="1"/>
  <c r="P195" i="1" s="1"/>
  <c r="N194" i="1"/>
  <c r="O194" i="1" s="1"/>
  <c r="P194" i="1" s="1"/>
  <c r="N193" i="1"/>
  <c r="O193" i="1" s="1"/>
  <c r="P193" i="1" s="1"/>
  <c r="N189" i="1"/>
  <c r="O189" i="1" s="1"/>
  <c r="P189" i="1" s="1"/>
  <c r="N188" i="1"/>
  <c r="O188" i="1" s="1"/>
  <c r="P188" i="1" s="1"/>
  <c r="N186" i="1"/>
  <c r="O186" i="1" s="1"/>
  <c r="P186" i="1" s="1"/>
  <c r="N183" i="1"/>
  <c r="O183" i="1" s="1"/>
  <c r="N168" i="1"/>
  <c r="O168" i="1" s="1"/>
  <c r="P168" i="1" s="1"/>
  <c r="N167" i="1"/>
  <c r="O167" i="1" s="1"/>
  <c r="P167" i="1" s="1"/>
  <c r="N163" i="1"/>
  <c r="O163" i="1" s="1"/>
  <c r="P163" i="1" s="1"/>
  <c r="N162" i="1"/>
  <c r="O162" i="1" s="1"/>
  <c r="P162" i="1" s="1"/>
  <c r="N161" i="1"/>
  <c r="O161" i="1" s="1"/>
  <c r="N160" i="1"/>
  <c r="O160" i="1" s="1"/>
  <c r="P160" i="1" s="1"/>
  <c r="N157" i="1"/>
  <c r="O157" i="1" s="1"/>
  <c r="P157" i="1" s="1"/>
  <c r="N156" i="1"/>
  <c r="O156" i="1" s="1"/>
  <c r="N154" i="1"/>
  <c r="O154" i="1" s="1"/>
  <c r="P154" i="1" s="1"/>
  <c r="N150" i="1"/>
  <c r="O150" i="1" s="1"/>
  <c r="P150" i="1" s="1"/>
  <c r="N144" i="1"/>
  <c r="O144" i="1" s="1"/>
  <c r="P144" i="1" s="1"/>
  <c r="N142" i="1"/>
  <c r="O142" i="1" s="1"/>
  <c r="P142" i="1" s="1"/>
  <c r="N85" i="1"/>
  <c r="O85" i="1" s="1"/>
  <c r="N80" i="1"/>
  <c r="O80" i="1" s="1"/>
  <c r="P80" i="1" s="1"/>
  <c r="N66" i="1"/>
  <c r="O66" i="1" s="1"/>
  <c r="P66" i="1" s="1"/>
  <c r="N65" i="1"/>
  <c r="O65" i="1" s="1"/>
  <c r="P65" i="1" s="1"/>
  <c r="N64" i="1"/>
  <c r="O64" i="1" s="1"/>
  <c r="P64" i="1" s="1"/>
  <c r="N63" i="1"/>
  <c r="O63" i="1" s="1"/>
  <c r="P63" i="1" s="1"/>
  <c r="N62" i="1"/>
  <c r="O62" i="1" s="1"/>
  <c r="P62" i="1" s="1"/>
  <c r="N61" i="1"/>
  <c r="O61" i="1" s="1"/>
  <c r="P61" i="1" s="1"/>
  <c r="N60" i="1"/>
  <c r="O60" i="1" s="1"/>
  <c r="N59" i="1"/>
  <c r="O59" i="1" s="1"/>
  <c r="P59" i="1" s="1"/>
  <c r="N56" i="1"/>
  <c r="O56" i="1" s="1"/>
  <c r="P56" i="1" s="1"/>
  <c r="N54" i="1"/>
  <c r="O54" i="1" s="1"/>
  <c r="P54" i="1" s="1"/>
  <c r="N51" i="1"/>
  <c r="O51" i="1" s="1"/>
  <c r="P51" i="1" s="1"/>
  <c r="N50" i="1"/>
  <c r="O50" i="1" s="1"/>
  <c r="P50" i="1" s="1"/>
  <c r="N44" i="1"/>
  <c r="O44" i="1" s="1"/>
  <c r="P44" i="1" s="1"/>
  <c r="N42" i="1"/>
  <c r="O42" i="1" s="1"/>
  <c r="P42" i="1" s="1"/>
  <c r="N36" i="1"/>
  <c r="O36" i="1" s="1"/>
  <c r="N32" i="1"/>
  <c r="O32" i="1" s="1"/>
  <c r="P32" i="1" s="1"/>
  <c r="N28" i="1"/>
  <c r="O28" i="1" s="1"/>
  <c r="P28" i="1" s="1"/>
  <c r="N26" i="1"/>
  <c r="O26" i="1" s="1"/>
  <c r="N25" i="1"/>
  <c r="O25" i="1" s="1"/>
  <c r="P25" i="1" s="1"/>
  <c r="N23" i="1"/>
  <c r="O23" i="1" s="1"/>
  <c r="P23" i="1" s="1"/>
  <c r="N21" i="1"/>
  <c r="O21" i="1" s="1"/>
  <c r="P21" i="1" s="1"/>
  <c r="N15" i="1"/>
  <c r="O15" i="1" s="1"/>
  <c r="P15" i="1" s="1"/>
  <c r="J21" i="1"/>
  <c r="J23" i="1"/>
  <c r="J25" i="1"/>
  <c r="J26" i="1"/>
  <c r="J28" i="1"/>
  <c r="J32" i="1"/>
  <c r="J36" i="1"/>
  <c r="J37" i="1"/>
  <c r="J42" i="1"/>
  <c r="J44" i="1"/>
  <c r="J50" i="1"/>
  <c r="J51" i="1"/>
  <c r="J54" i="1"/>
  <c r="J56" i="1"/>
  <c r="J59" i="1"/>
  <c r="J60" i="1"/>
  <c r="J61" i="1"/>
  <c r="J62" i="1"/>
  <c r="J63" i="1"/>
  <c r="J64" i="1"/>
  <c r="J65" i="1"/>
  <c r="J66" i="1"/>
  <c r="J80" i="1"/>
  <c r="L80" i="1" s="1"/>
  <c r="J85" i="1"/>
  <c r="L85" i="1" s="1"/>
  <c r="J115" i="1"/>
  <c r="L115" i="1" s="1"/>
  <c r="J116" i="1"/>
  <c r="L116" i="1" s="1"/>
  <c r="J117" i="1"/>
  <c r="L117" i="1" s="1"/>
  <c r="J119" i="1"/>
  <c r="L119" i="1" s="1"/>
  <c r="J122" i="1"/>
  <c r="L122" i="1" s="1"/>
  <c r="J124" i="1"/>
  <c r="L124" i="1" s="1"/>
  <c r="J125" i="1"/>
  <c r="L125" i="1" s="1"/>
  <c r="J127" i="1"/>
  <c r="L127" i="1" s="1"/>
  <c r="J129" i="1"/>
  <c r="L129" i="1" s="1"/>
  <c r="J131" i="1"/>
  <c r="L131" i="1" s="1"/>
  <c r="J133" i="1"/>
  <c r="L133" i="1" s="1"/>
  <c r="J134" i="1"/>
  <c r="L134" i="1" s="1"/>
  <c r="J142" i="1"/>
  <c r="J144" i="1"/>
  <c r="J150" i="1"/>
  <c r="J154" i="1"/>
  <c r="J156" i="1"/>
  <c r="J157" i="1"/>
  <c r="J160" i="1"/>
  <c r="J161" i="1"/>
  <c r="J162" i="1"/>
  <c r="J163" i="1"/>
  <c r="J167" i="1"/>
  <c r="J168" i="1"/>
  <c r="J183" i="1"/>
  <c r="J186" i="1"/>
  <c r="J188" i="1"/>
  <c r="J189" i="1"/>
  <c r="J193" i="1"/>
  <c r="J194" i="1"/>
  <c r="J195" i="1"/>
  <c r="J196" i="1"/>
  <c r="J197" i="1"/>
  <c r="J203" i="1"/>
  <c r="J209" i="1"/>
  <c r="J215" i="1"/>
  <c r="J221" i="1"/>
  <c r="J227" i="1"/>
  <c r="J233" i="1"/>
  <c r="J239" i="1"/>
  <c r="J245" i="1"/>
  <c r="J251" i="1"/>
  <c r="J257" i="1"/>
  <c r="J263" i="1"/>
  <c r="J269" i="1"/>
  <c r="J275" i="1"/>
  <c r="J277" i="1"/>
  <c r="J278" i="1"/>
  <c r="J284" i="1"/>
  <c r="J290" i="1"/>
  <c r="J296" i="1"/>
  <c r="J302" i="1"/>
  <c r="J308" i="1"/>
  <c r="J314" i="1"/>
  <c r="J316" i="1"/>
  <c r="J318" i="1"/>
  <c r="J320" i="1"/>
  <c r="J322" i="1"/>
  <c r="J324" i="1"/>
  <c r="O90" i="9"/>
  <c r="N90" i="9"/>
  <c r="M90" i="9"/>
  <c r="L90" i="9"/>
  <c r="K90" i="9"/>
  <c r="J90" i="9"/>
  <c r="H90" i="9"/>
  <c r="G90" i="9"/>
  <c r="E90" i="9"/>
  <c r="Q249" i="9"/>
  <c r="Q248" i="9"/>
  <c r="Q247" i="9"/>
  <c r="Q244" i="9"/>
  <c r="Q243" i="9"/>
  <c r="Q234" i="9"/>
  <c r="Q230" i="9"/>
  <c r="Q229" i="9"/>
  <c r="Q228" i="9"/>
  <c r="Q227" i="9"/>
  <c r="Q223" i="9"/>
  <c r="Q218" i="9"/>
  <c r="Q217" i="9"/>
  <c r="Q216" i="9"/>
  <c r="Q215" i="9"/>
  <c r="Q203" i="9"/>
  <c r="Q202" i="9"/>
  <c r="Q201" i="9"/>
  <c r="Q200" i="9"/>
  <c r="Q199" i="9"/>
  <c r="Q193" i="9"/>
  <c r="Q192" i="9"/>
  <c r="Q191" i="9"/>
  <c r="Q190" i="9"/>
  <c r="Q188" i="9"/>
  <c r="Q182" i="9"/>
  <c r="Q181" i="9"/>
  <c r="Q180" i="9"/>
  <c r="Q179" i="9"/>
  <c r="R179" i="9" s="1"/>
  <c r="Q176" i="9"/>
  <c r="Q172" i="9"/>
  <c r="R172" i="9" s="1"/>
  <c r="Q171" i="9"/>
  <c r="R171" i="9" s="1"/>
  <c r="Q170" i="9"/>
  <c r="R170" i="9" s="1"/>
  <c r="Q169" i="9"/>
  <c r="R169" i="9" s="1"/>
  <c r="Q168" i="9"/>
  <c r="Q164" i="9"/>
  <c r="R164" i="9" s="1"/>
  <c r="Q163" i="9"/>
  <c r="R163" i="9" s="1"/>
  <c r="Q162" i="9"/>
  <c r="R162" i="9" s="1"/>
  <c r="Q161" i="9"/>
  <c r="R161" i="9" s="1"/>
  <c r="Q160" i="9"/>
  <c r="Q155" i="9"/>
  <c r="R155" i="9" s="1"/>
  <c r="Q154" i="9"/>
  <c r="R154" i="9" s="1"/>
  <c r="Q153" i="9"/>
  <c r="R153" i="9" s="1"/>
  <c r="Q152" i="9"/>
  <c r="R152" i="9" s="1"/>
  <c r="Q151" i="9"/>
  <c r="Q144" i="9"/>
  <c r="R144" i="9" s="1"/>
  <c r="Q143" i="9"/>
  <c r="R143" i="9" s="1"/>
  <c r="Q142" i="9"/>
  <c r="R142" i="9" s="1"/>
  <c r="Q141" i="9"/>
  <c r="R141" i="9" s="1"/>
  <c r="Q140" i="9"/>
  <c r="Q135" i="9"/>
  <c r="R135" i="9" s="1"/>
  <c r="Q134" i="9"/>
  <c r="R134" i="9" s="1"/>
  <c r="Q133" i="9"/>
  <c r="R133" i="9" s="1"/>
  <c r="Q132" i="9"/>
  <c r="R132" i="9" s="1"/>
  <c r="Q131" i="9"/>
  <c r="Q116" i="9"/>
  <c r="Q115" i="9"/>
  <c r="Q114" i="9"/>
  <c r="Q113" i="9"/>
  <c r="Q112" i="9"/>
  <c r="Q108" i="9"/>
  <c r="Q107" i="9"/>
  <c r="Q106" i="9"/>
  <c r="Q101" i="9"/>
  <c r="Q100" i="9"/>
  <c r="Q96" i="9"/>
  <c r="Q95" i="9"/>
  <c r="Q93" i="9"/>
  <c r="Q92" i="9"/>
  <c r="O250" i="9"/>
  <c r="O249" i="9"/>
  <c r="O248" i="9"/>
  <c r="O247" i="9"/>
  <c r="O244" i="9"/>
  <c r="O243" i="9"/>
  <c r="O242" i="9"/>
  <c r="O238" i="9"/>
  <c r="O235" i="9"/>
  <c r="O234" i="9"/>
  <c r="O230" i="9"/>
  <c r="O229" i="9"/>
  <c r="O228" i="9"/>
  <c r="O227" i="9"/>
  <c r="O226" i="9"/>
  <c r="O225" i="9"/>
  <c r="O224" i="9"/>
  <c r="O223" i="9"/>
  <c r="O218" i="9"/>
  <c r="O217" i="9"/>
  <c r="O216" i="9"/>
  <c r="O215" i="9"/>
  <c r="O214" i="9"/>
  <c r="O213" i="9"/>
  <c r="O204" i="9"/>
  <c r="O203" i="9"/>
  <c r="O202" i="9"/>
  <c r="O201" i="9"/>
  <c r="O200" i="9"/>
  <c r="O199" i="9"/>
  <c r="O198" i="9"/>
  <c r="O195" i="9"/>
  <c r="O194" i="9"/>
  <c r="O193" i="9"/>
  <c r="O192" i="9"/>
  <c r="O191" i="9"/>
  <c r="O190" i="9"/>
  <c r="O188" i="9"/>
  <c r="O187" i="9"/>
  <c r="O186" i="9"/>
  <c r="O185" i="9"/>
  <c r="O182" i="9"/>
  <c r="O181" i="9"/>
  <c r="O180" i="9"/>
  <c r="O176" i="9"/>
  <c r="O175" i="9"/>
  <c r="O174" i="9"/>
  <c r="O171" i="9"/>
  <c r="O170" i="9"/>
  <c r="O169" i="9"/>
  <c r="O168" i="9"/>
  <c r="O167" i="9"/>
  <c r="O166" i="9"/>
  <c r="O165" i="9"/>
  <c r="O164" i="9"/>
  <c r="O163" i="9"/>
  <c r="O162" i="9"/>
  <c r="O161" i="9"/>
  <c r="O160" i="9"/>
  <c r="O158" i="9"/>
  <c r="O157" i="9"/>
  <c r="O156" i="9"/>
  <c r="O155" i="9"/>
  <c r="O154" i="9"/>
  <c r="O153" i="9"/>
  <c r="O152" i="9"/>
  <c r="O151" i="9"/>
  <c r="O150" i="9"/>
  <c r="O149" i="9"/>
  <c r="O146" i="9"/>
  <c r="O144" i="9"/>
  <c r="O143" i="9"/>
  <c r="O142" i="9"/>
  <c r="O141" i="9"/>
  <c r="O140" i="9"/>
  <c r="O139" i="9"/>
  <c r="O138" i="9"/>
  <c r="O136" i="9"/>
  <c r="O135" i="9"/>
  <c r="O134" i="9"/>
  <c r="O133" i="9"/>
  <c r="O132" i="9"/>
  <c r="O131" i="9"/>
  <c r="O119" i="9"/>
  <c r="O118" i="9"/>
  <c r="O117" i="9"/>
  <c r="O116" i="9"/>
  <c r="O115" i="9"/>
  <c r="O114" i="9"/>
  <c r="O113" i="9"/>
  <c r="O111" i="9"/>
  <c r="O110" i="9"/>
  <c r="O109" i="9"/>
  <c r="O108" i="9"/>
  <c r="O107" i="9"/>
  <c r="O106" i="9"/>
  <c r="O101" i="9"/>
  <c r="O100" i="9"/>
  <c r="O99" i="9"/>
  <c r="O98" i="9"/>
  <c r="O97" i="9"/>
  <c r="O96" i="9"/>
  <c r="O95" i="9"/>
  <c r="O93" i="9"/>
  <c r="O92" i="9"/>
  <c r="Q239" i="9"/>
  <c r="Q48" i="9"/>
  <c r="Q46" i="9"/>
  <c r="P46" i="9"/>
  <c r="P48" i="9"/>
  <c r="P239" i="9"/>
  <c r="N115" i="1"/>
  <c r="O115" i="1" s="1"/>
  <c r="P115" i="1" s="1"/>
  <c r="N116" i="1"/>
  <c r="O116" i="1" s="1"/>
  <c r="N117" i="1"/>
  <c r="O117" i="1" s="1"/>
  <c r="P117" i="1" s="1"/>
  <c r="N119" i="1"/>
  <c r="O119" i="1" s="1"/>
  <c r="P119" i="1" s="1"/>
  <c r="N122" i="1"/>
  <c r="O122" i="1" s="1"/>
  <c r="P122" i="1" s="1"/>
  <c r="N124" i="1"/>
  <c r="O124" i="1" s="1"/>
  <c r="N125" i="1"/>
  <c r="O125" i="1" s="1"/>
  <c r="N127" i="1"/>
  <c r="O127" i="1" s="1"/>
  <c r="P127" i="1" s="1"/>
  <c r="N129" i="1"/>
  <c r="O129" i="1" s="1"/>
  <c r="P129" i="1" s="1"/>
  <c r="N131" i="1"/>
  <c r="O131" i="1" s="1"/>
  <c r="P131" i="1" s="1"/>
  <c r="N133" i="1"/>
  <c r="O133" i="1" s="1"/>
  <c r="P133" i="1" s="1"/>
  <c r="N134" i="1"/>
  <c r="O134" i="1" s="1"/>
  <c r="P134" i="1" s="1"/>
  <c r="L15" i="1"/>
  <c r="L16" i="1"/>
  <c r="L46" i="1"/>
  <c r="P125" i="1" l="1"/>
  <c r="Q125" i="1"/>
  <c r="R125" i="1" s="1"/>
  <c r="S125" i="1" s="1"/>
  <c r="P36" i="1"/>
  <c r="Q36" i="1"/>
  <c r="R36" i="1" s="1"/>
  <c r="S36" i="1" s="1"/>
  <c r="P60" i="1"/>
  <c r="Q60" i="1"/>
  <c r="R60" i="1" s="1"/>
  <c r="S60" i="1" s="1"/>
  <c r="P85" i="1"/>
  <c r="Q85" i="1"/>
  <c r="R85" i="1" s="1"/>
  <c r="S85" i="1" s="1"/>
  <c r="P161" i="1"/>
  <c r="Q161" i="1"/>
  <c r="R161" i="1" s="1"/>
  <c r="S161" i="1" s="1"/>
  <c r="P215" i="1"/>
  <c r="Q215" i="1"/>
  <c r="R215" i="1" s="1"/>
  <c r="S215" i="1" s="1"/>
  <c r="P263" i="1"/>
  <c r="Q263" i="1"/>
  <c r="R263" i="1" s="1"/>
  <c r="S263" i="1" s="1"/>
  <c r="P302" i="1"/>
  <c r="Q302" i="1"/>
  <c r="R302" i="1" s="1"/>
  <c r="S302" i="1" s="1"/>
  <c r="P124" i="1"/>
  <c r="Q124" i="1"/>
  <c r="R124" i="1" s="1"/>
  <c r="S124" i="1" s="1"/>
  <c r="Q131" i="1"/>
  <c r="R131" i="1" s="1"/>
  <c r="S131" i="1" s="1"/>
  <c r="Q37" i="1"/>
  <c r="R37" i="1" s="1"/>
  <c r="S37" i="1" s="1"/>
  <c r="Q65" i="1"/>
  <c r="R65" i="1" s="1"/>
  <c r="S65" i="1" s="1"/>
  <c r="P116" i="1"/>
  <c r="Q116" i="1"/>
  <c r="R116" i="1" s="1"/>
  <c r="S116" i="1" s="1"/>
  <c r="P26" i="1"/>
  <c r="Q26" i="1"/>
  <c r="R26" i="1" s="1"/>
  <c r="S26" i="1" s="1"/>
  <c r="P156" i="1"/>
  <c r="Q156" i="1"/>
  <c r="R156" i="1" s="1"/>
  <c r="S156" i="1" s="1"/>
  <c r="P183" i="1"/>
  <c r="Q183" i="1"/>
  <c r="R183" i="1" s="1"/>
  <c r="S183" i="1" s="1"/>
  <c r="P284" i="1"/>
  <c r="Q284" i="1"/>
  <c r="R284" i="1" s="1"/>
  <c r="S284" i="1" s="1"/>
  <c r="P320" i="1"/>
  <c r="Q320" i="1"/>
  <c r="R320" i="1" s="1"/>
  <c r="S320" i="1" s="1"/>
  <c r="Q245" i="1"/>
  <c r="R245" i="1" s="1"/>
  <c r="S245" i="1" s="1"/>
  <c r="Q63" i="1"/>
  <c r="R63" i="1" s="1"/>
  <c r="S63" i="1" s="1"/>
  <c r="Q80" i="1"/>
  <c r="R80" i="1" s="1"/>
  <c r="S80" i="1" s="1"/>
  <c r="Q129" i="1"/>
  <c r="R129" i="1" s="1"/>
  <c r="S129" i="1" s="1"/>
  <c r="Q142" i="1"/>
  <c r="R142" i="1" s="1"/>
  <c r="S142" i="1" s="1"/>
  <c r="Q150" i="1"/>
  <c r="R150" i="1" s="1"/>
  <c r="S150" i="1" s="1"/>
  <c r="Q278" i="1"/>
  <c r="R278" i="1" s="1"/>
  <c r="S278" i="1" s="1"/>
  <c r="Q308" i="1"/>
  <c r="R308" i="1" s="1"/>
  <c r="S308" i="1" s="1"/>
  <c r="P296" i="1"/>
  <c r="Q296" i="1"/>
  <c r="R296" i="1" s="1"/>
  <c r="S296" i="1" s="1"/>
  <c r="Q15" i="1"/>
  <c r="R15" i="1" s="1"/>
  <c r="S15" i="1" s="1"/>
  <c r="Q23" i="1"/>
  <c r="R23" i="1" s="1"/>
  <c r="S23" i="1" s="1"/>
  <c r="Q56" i="1"/>
  <c r="R56" i="1" s="1"/>
  <c r="S56" i="1" s="1"/>
  <c r="Q64" i="1"/>
  <c r="R64" i="1" s="1"/>
  <c r="S64" i="1" s="1"/>
  <c r="Q122" i="1"/>
  <c r="R122" i="1" s="1"/>
  <c r="S122" i="1" s="1"/>
  <c r="Q167" i="1"/>
  <c r="R167" i="1" s="1"/>
  <c r="S167" i="1" s="1"/>
  <c r="Q239" i="1"/>
  <c r="R239" i="1" s="1"/>
  <c r="S239" i="1" s="1"/>
  <c r="Q322" i="1"/>
  <c r="R322" i="1" s="1"/>
  <c r="S322" i="1" s="1"/>
  <c r="Q25" i="1"/>
  <c r="R25" i="1" s="1"/>
  <c r="S25" i="1" s="1"/>
  <c r="Q50" i="1"/>
  <c r="R50" i="1" s="1"/>
  <c r="S50" i="1" s="1"/>
  <c r="Q66" i="1"/>
  <c r="R66" i="1" s="1"/>
  <c r="S66" i="1" s="1"/>
  <c r="Q193" i="1"/>
  <c r="R193" i="1" s="1"/>
  <c r="S193" i="1" s="1"/>
  <c r="Q209" i="1"/>
  <c r="R209" i="1" s="1"/>
  <c r="S209" i="1" s="1"/>
  <c r="Q233" i="1"/>
  <c r="R233" i="1" s="1"/>
  <c r="S233" i="1" s="1"/>
  <c r="Q257" i="1"/>
  <c r="R257" i="1" s="1"/>
  <c r="S257" i="1" s="1"/>
  <c r="Q324" i="1"/>
  <c r="R324" i="1" s="1"/>
  <c r="S324" i="1" s="1"/>
  <c r="Q42" i="1"/>
  <c r="R42" i="1" s="1"/>
  <c r="S42" i="1" s="1"/>
  <c r="Q51" i="1"/>
  <c r="R51" i="1" s="1"/>
  <c r="S51" i="1" s="1"/>
  <c r="Q59" i="1"/>
  <c r="R59" i="1" s="1"/>
  <c r="S59" i="1" s="1"/>
  <c r="Q117" i="1"/>
  <c r="R117" i="1" s="1"/>
  <c r="S117" i="1" s="1"/>
  <c r="Q133" i="1"/>
  <c r="R133" i="1" s="1"/>
  <c r="S133" i="1" s="1"/>
  <c r="Q154" i="1"/>
  <c r="R154" i="1" s="1"/>
  <c r="S154" i="1" s="1"/>
  <c r="Q162" i="1"/>
  <c r="R162" i="1" s="1"/>
  <c r="S162" i="1" s="1"/>
  <c r="Q186" i="1"/>
  <c r="R186" i="1" s="1"/>
  <c r="S186" i="1" s="1"/>
  <c r="Q194" i="1"/>
  <c r="R194" i="1" s="1"/>
  <c r="S194" i="1" s="1"/>
  <c r="Q314" i="1"/>
  <c r="R314" i="1" s="1"/>
  <c r="S314" i="1" s="1"/>
  <c r="Q134" i="1"/>
  <c r="R134" i="1" s="1"/>
  <c r="S134" i="1" s="1"/>
  <c r="Q163" i="1"/>
  <c r="R163" i="1" s="1"/>
  <c r="S163" i="1" s="1"/>
  <c r="Q195" i="1"/>
  <c r="R195" i="1" s="1"/>
  <c r="S195" i="1" s="1"/>
  <c r="Q203" i="1"/>
  <c r="R203" i="1" s="1"/>
  <c r="S203" i="1" s="1"/>
  <c r="Q227" i="1"/>
  <c r="R227" i="1" s="1"/>
  <c r="S227" i="1" s="1"/>
  <c r="Q251" i="1"/>
  <c r="R251" i="1" s="1"/>
  <c r="S251" i="1" s="1"/>
  <c r="Q275" i="1"/>
  <c r="R275" i="1" s="1"/>
  <c r="S275" i="1" s="1"/>
  <c r="Q28" i="1"/>
  <c r="R28" i="1" s="1"/>
  <c r="S28" i="1" s="1"/>
  <c r="Q44" i="1"/>
  <c r="R44" i="1" s="1"/>
  <c r="S44" i="1" s="1"/>
  <c r="Q61" i="1"/>
  <c r="R61" i="1" s="1"/>
  <c r="S61" i="1" s="1"/>
  <c r="Q119" i="1"/>
  <c r="R119" i="1" s="1"/>
  <c r="S119" i="1" s="1"/>
  <c r="Q127" i="1"/>
  <c r="R127" i="1" s="1"/>
  <c r="S127" i="1" s="1"/>
  <c r="Q188" i="1"/>
  <c r="R188" i="1" s="1"/>
  <c r="S188" i="1" s="1"/>
  <c r="Q196" i="1"/>
  <c r="R196" i="1" s="1"/>
  <c r="S196" i="1" s="1"/>
  <c r="Q316" i="1"/>
  <c r="R316" i="1" s="1"/>
  <c r="S316" i="1" s="1"/>
  <c r="L50" i="1"/>
  <c r="L51" i="1"/>
  <c r="L54" i="1"/>
  <c r="L56" i="1"/>
  <c r="L59" i="1"/>
  <c r="L60" i="1"/>
  <c r="L61" i="1"/>
  <c r="L62" i="1"/>
  <c r="L63" i="1"/>
  <c r="L64" i="1"/>
  <c r="L65" i="1"/>
  <c r="L66" i="1"/>
  <c r="L21" i="1"/>
  <c r="L23" i="1"/>
  <c r="L25" i="1"/>
  <c r="L26" i="1"/>
  <c r="L28" i="1"/>
  <c r="L32" i="1"/>
  <c r="L36" i="1"/>
  <c r="L37" i="1"/>
  <c r="L42" i="1"/>
  <c r="L44" i="1"/>
  <c r="N250" i="9" l="1"/>
  <c r="N249" i="9"/>
  <c r="N248" i="9"/>
  <c r="N247" i="9"/>
  <c r="N244" i="9"/>
  <c r="N243" i="9"/>
  <c r="N242" i="9"/>
  <c r="N238" i="9"/>
  <c r="N235" i="9"/>
  <c r="N234" i="9"/>
  <c r="N230" i="9"/>
  <c r="N229" i="9"/>
  <c r="N228" i="9"/>
  <c r="N227" i="9"/>
  <c r="N226" i="9"/>
  <c r="N225" i="9"/>
  <c r="N224" i="9"/>
  <c r="N223" i="9"/>
  <c r="N218" i="9"/>
  <c r="N217" i="9"/>
  <c r="N216" i="9"/>
  <c r="N215" i="9"/>
  <c r="N214" i="9"/>
  <c r="N213" i="9"/>
  <c r="N204" i="9"/>
  <c r="N203" i="9"/>
  <c r="N202" i="9"/>
  <c r="N201" i="9"/>
  <c r="N200" i="9"/>
  <c r="N199" i="9"/>
  <c r="N198" i="9"/>
  <c r="N195" i="9"/>
  <c r="N194" i="9"/>
  <c r="N193" i="9"/>
  <c r="N192" i="9"/>
  <c r="N191" i="9"/>
  <c r="N190" i="9"/>
  <c r="N188" i="9"/>
  <c r="N187" i="9"/>
  <c r="N186" i="9"/>
  <c r="N185" i="9"/>
  <c r="N182" i="9"/>
  <c r="N181" i="9"/>
  <c r="N180" i="9"/>
  <c r="N176" i="9"/>
  <c r="N175" i="9"/>
  <c r="N174" i="9"/>
  <c r="N171" i="9"/>
  <c r="N170" i="9"/>
  <c r="N169" i="9"/>
  <c r="N168" i="9"/>
  <c r="N167" i="9"/>
  <c r="N166" i="9"/>
  <c r="N165" i="9"/>
  <c r="N164" i="9"/>
  <c r="N163" i="9"/>
  <c r="N162" i="9"/>
  <c r="N161" i="9"/>
  <c r="N160" i="9"/>
  <c r="N158" i="9"/>
  <c r="N157" i="9"/>
  <c r="N156" i="9"/>
  <c r="N155" i="9"/>
  <c r="N154" i="9"/>
  <c r="N153" i="9"/>
  <c r="N152" i="9"/>
  <c r="N151" i="9"/>
  <c r="N150" i="9"/>
  <c r="N149" i="9"/>
  <c r="N146" i="9"/>
  <c r="N144" i="9"/>
  <c r="N143" i="9"/>
  <c r="N142" i="9"/>
  <c r="N141" i="9"/>
  <c r="N140" i="9"/>
  <c r="N139" i="9"/>
  <c r="N138" i="9"/>
  <c r="N136" i="9"/>
  <c r="N135" i="9"/>
  <c r="N134" i="9"/>
  <c r="N133" i="9"/>
  <c r="N132" i="9"/>
  <c r="N131" i="9"/>
  <c r="N119" i="9"/>
  <c r="N118" i="9"/>
  <c r="N117" i="9"/>
  <c r="N116" i="9"/>
  <c r="N115" i="9"/>
  <c r="N114" i="9"/>
  <c r="N113" i="9"/>
  <c r="N111" i="9"/>
  <c r="N110" i="9"/>
  <c r="N109" i="9"/>
  <c r="N108" i="9"/>
  <c r="N107" i="9"/>
  <c r="N106" i="9"/>
  <c r="N101" i="9"/>
  <c r="N100" i="9"/>
  <c r="N99" i="9"/>
  <c r="N98" i="9"/>
  <c r="N97" i="9"/>
  <c r="N96" i="9"/>
  <c r="N95" i="9"/>
  <c r="N93" i="9"/>
  <c r="N92" i="9"/>
  <c r="N85" i="9"/>
  <c r="N84" i="9"/>
  <c r="N82" i="9"/>
  <c r="N81" i="9"/>
  <c r="N80" i="9"/>
  <c r="N79" i="9"/>
  <c r="N78" i="9"/>
  <c r="N77" i="9"/>
  <c r="N76" i="9"/>
  <c r="N75" i="9"/>
  <c r="N74" i="9"/>
  <c r="N72" i="9"/>
  <c r="N71" i="9"/>
  <c r="N70" i="9"/>
  <c r="N69" i="9"/>
  <c r="N68" i="9"/>
  <c r="N67" i="9"/>
  <c r="N66" i="9"/>
  <c r="N65" i="9"/>
  <c r="N49" i="9"/>
  <c r="N47" i="9"/>
  <c r="N45" i="9"/>
  <c r="N36" i="9"/>
  <c r="N33" i="9"/>
  <c r="N31" i="9"/>
  <c r="N27" i="9"/>
  <c r="N26" i="9"/>
  <c r="N23" i="9"/>
  <c r="N20" i="9"/>
  <c r="N18" i="9"/>
  <c r="N16" i="9"/>
  <c r="N14" i="9"/>
  <c r="O239" i="9"/>
  <c r="O145" i="9"/>
  <c r="O120" i="9"/>
  <c r="O103" i="9"/>
  <c r="O102" i="9"/>
  <c r="O28" i="9"/>
  <c r="M8" i="1"/>
  <c r="M18" i="9"/>
  <c r="I352" i="1"/>
  <c r="J352" i="1" s="1"/>
  <c r="I353" i="1"/>
  <c r="J353" i="1" s="1"/>
  <c r="I351" i="1"/>
  <c r="J351" i="1" s="1"/>
  <c r="I355" i="1"/>
  <c r="J355" i="1" s="1"/>
  <c r="L239" i="9"/>
  <c r="M239" i="9" s="1"/>
  <c r="N239" i="9" s="1"/>
  <c r="L145" i="9"/>
  <c r="M145" i="9"/>
  <c r="N145" i="9" s="1"/>
  <c r="M33" i="9"/>
  <c r="M120" i="9"/>
  <c r="N120" i="9" s="1"/>
  <c r="L120" i="9"/>
  <c r="L103" i="9"/>
  <c r="M103" i="9" s="1"/>
  <c r="N103" i="9" s="1"/>
  <c r="L102" i="9"/>
  <c r="M102" i="9" s="1"/>
  <c r="N102" i="9" s="1"/>
  <c r="L28" i="9"/>
  <c r="M28" i="9" s="1"/>
  <c r="N28" i="9" s="1"/>
  <c r="K355" i="1" l="1"/>
  <c r="L355" i="1" s="1"/>
  <c r="M355" i="1" s="1"/>
  <c r="N355" i="1" s="1"/>
  <c r="O355" i="1" s="1"/>
  <c r="Q355" i="1" s="1"/>
  <c r="R355" i="1" s="1"/>
  <c r="S355" i="1" s="1"/>
  <c r="K351" i="1"/>
  <c r="L351" i="1" s="1"/>
  <c r="M351" i="1" s="1"/>
  <c r="N351" i="1" s="1"/>
  <c r="O351" i="1" s="1"/>
  <c r="Q351" i="1" s="1"/>
  <c r="R351" i="1" s="1"/>
  <c r="S351" i="1" s="1"/>
  <c r="K353" i="1"/>
  <c r="L353" i="1" s="1"/>
  <c r="M353" i="1" s="1"/>
  <c r="N353" i="1" s="1"/>
  <c r="O353" i="1" s="1"/>
  <c r="Q353" i="1" s="1"/>
  <c r="R353" i="1" s="1"/>
  <c r="S353" i="1" s="1"/>
  <c r="K352" i="1"/>
  <c r="L352" i="1" s="1"/>
  <c r="M352" i="1" s="1"/>
  <c r="N352" i="1" s="1"/>
  <c r="O352" i="1" s="1"/>
  <c r="Q352" i="1" s="1"/>
  <c r="R352" i="1" s="1"/>
  <c r="S352" i="1" s="1"/>
  <c r="H317" i="1"/>
  <c r="I317" i="1" s="1"/>
  <c r="J317" i="1" s="1"/>
  <c r="H315" i="1"/>
  <c r="I315" i="1" s="1"/>
  <c r="J315" i="1" s="1"/>
  <c r="H309" i="1"/>
  <c r="I309" i="1" s="1"/>
  <c r="J309" i="1" s="1"/>
  <c r="H310" i="1"/>
  <c r="I310" i="1" s="1"/>
  <c r="J310" i="1" s="1"/>
  <c r="H311" i="1"/>
  <c r="I311" i="1" s="1"/>
  <c r="J311" i="1" s="1"/>
  <c r="H312" i="1"/>
  <c r="I312" i="1" s="1"/>
  <c r="J312" i="1" s="1"/>
  <c r="H313" i="1"/>
  <c r="I313" i="1" s="1"/>
  <c r="J313" i="1" s="1"/>
  <c r="P352" i="1" l="1"/>
  <c r="P353" i="1"/>
  <c r="P351" i="1"/>
  <c r="P355" i="1"/>
  <c r="K312" i="1"/>
  <c r="L312" i="1" s="1"/>
  <c r="M312" i="1" s="1"/>
  <c r="N312" i="1" s="1"/>
  <c r="O312" i="1" s="1"/>
  <c r="Q312" i="1" s="1"/>
  <c r="R312" i="1" s="1"/>
  <c r="S312" i="1" s="1"/>
  <c r="K311" i="1"/>
  <c r="L311" i="1" s="1"/>
  <c r="M311" i="1" s="1"/>
  <c r="N311" i="1" s="1"/>
  <c r="O311" i="1" s="1"/>
  <c r="Q311" i="1" s="1"/>
  <c r="R311" i="1" s="1"/>
  <c r="S311" i="1" s="1"/>
  <c r="K309" i="1"/>
  <c r="L309" i="1" s="1"/>
  <c r="M309" i="1" s="1"/>
  <c r="N309" i="1" s="1"/>
  <c r="O309" i="1" s="1"/>
  <c r="Q309" i="1" s="1"/>
  <c r="R309" i="1" s="1"/>
  <c r="S309" i="1" s="1"/>
  <c r="K310" i="1"/>
  <c r="L310" i="1" s="1"/>
  <c r="M310" i="1" s="1"/>
  <c r="N310" i="1" s="1"/>
  <c r="O310" i="1" s="1"/>
  <c r="Q310" i="1" s="1"/>
  <c r="R310" i="1" s="1"/>
  <c r="S310" i="1" s="1"/>
  <c r="K315" i="1"/>
  <c r="L315" i="1" s="1"/>
  <c r="M315" i="1" s="1"/>
  <c r="N315" i="1" s="1"/>
  <c r="O315" i="1" s="1"/>
  <c r="Q315" i="1" s="1"/>
  <c r="R315" i="1" s="1"/>
  <c r="S315" i="1" s="1"/>
  <c r="K313" i="1"/>
  <c r="L313" i="1" s="1"/>
  <c r="M313" i="1" s="1"/>
  <c r="N313" i="1" s="1"/>
  <c r="O313" i="1" s="1"/>
  <c r="Q313" i="1" s="1"/>
  <c r="R313" i="1" s="1"/>
  <c r="S313" i="1" s="1"/>
  <c r="K317" i="1"/>
  <c r="L317" i="1" s="1"/>
  <c r="M317" i="1" s="1"/>
  <c r="N317" i="1" s="1"/>
  <c r="O317" i="1" s="1"/>
  <c r="Q317" i="1" s="1"/>
  <c r="R317" i="1" s="1"/>
  <c r="S317" i="1" s="1"/>
  <c r="H87" i="1"/>
  <c r="I87" i="1" s="1"/>
  <c r="J87" i="1" s="1"/>
  <c r="K57" i="10"/>
  <c r="L57" i="10" s="1"/>
  <c r="K58" i="10"/>
  <c r="L58" i="10" s="1"/>
  <c r="K59" i="10"/>
  <c r="L59" i="10" s="1"/>
  <c r="K64" i="10"/>
  <c r="L64" i="10" s="1"/>
  <c r="K65" i="10"/>
  <c r="L65" i="10" s="1"/>
  <c r="K67" i="10"/>
  <c r="L67" i="10" s="1"/>
  <c r="K69" i="10"/>
  <c r="L69" i="10" s="1"/>
  <c r="K70" i="10"/>
  <c r="L70" i="10" s="1"/>
  <c r="K73" i="10"/>
  <c r="L73" i="10" s="1"/>
  <c r="K74" i="10"/>
  <c r="L74" i="10" s="1"/>
  <c r="K75" i="10"/>
  <c r="L75" i="10" s="1"/>
  <c r="K76" i="10"/>
  <c r="L76" i="10" s="1"/>
  <c r="K79" i="10"/>
  <c r="L79" i="10" s="1"/>
  <c r="K80" i="10"/>
  <c r="L80" i="10" s="1"/>
  <c r="K82" i="10"/>
  <c r="L82" i="10" s="1"/>
  <c r="K83" i="10"/>
  <c r="L83" i="10" s="1"/>
  <c r="K84" i="10"/>
  <c r="L84" i="10" s="1"/>
  <c r="K89" i="10"/>
  <c r="L89" i="10" s="1"/>
  <c r="K91" i="10"/>
  <c r="L91" i="10" s="1"/>
  <c r="K92" i="10"/>
  <c r="L92" i="10" s="1"/>
  <c r="K93" i="10"/>
  <c r="L93" i="10" s="1"/>
  <c r="K94" i="10"/>
  <c r="L94" i="10" s="1"/>
  <c r="K95" i="10"/>
  <c r="L95" i="10" s="1"/>
  <c r="K96" i="10"/>
  <c r="L96" i="10" s="1"/>
  <c r="K98" i="10"/>
  <c r="L98" i="10" s="1"/>
  <c r="K99" i="10"/>
  <c r="L99" i="10" s="1"/>
  <c r="K100" i="10"/>
  <c r="L100" i="10" s="1"/>
  <c r="K101" i="10"/>
  <c r="L101" i="10" s="1"/>
  <c r="K102" i="10"/>
  <c r="L102" i="10" s="1"/>
  <c r="K103" i="10"/>
  <c r="L103" i="10" s="1"/>
  <c r="K104" i="10"/>
  <c r="L104" i="10" s="1"/>
  <c r="K105" i="10"/>
  <c r="L105" i="10" s="1"/>
  <c r="K106" i="10"/>
  <c r="L106" i="10" s="1"/>
  <c r="K107" i="10"/>
  <c r="L107" i="10" s="1"/>
  <c r="K108" i="10"/>
  <c r="L108" i="10" s="1"/>
  <c r="K109" i="10"/>
  <c r="L109" i="10" s="1"/>
  <c r="K110" i="10"/>
  <c r="L110" i="10" s="1"/>
  <c r="K111" i="10"/>
  <c r="L111" i="10" s="1"/>
  <c r="K113" i="10"/>
  <c r="L113" i="10" s="1"/>
  <c r="K114" i="10"/>
  <c r="L114" i="10" s="1"/>
  <c r="K117" i="10"/>
  <c r="L117" i="10" s="1"/>
  <c r="K118" i="10"/>
  <c r="L118" i="10" s="1"/>
  <c r="K119" i="10"/>
  <c r="L119" i="10" s="1"/>
  <c r="K120" i="10"/>
  <c r="L120" i="10" s="1"/>
  <c r="K121" i="10"/>
  <c r="L121" i="10" s="1"/>
  <c r="K46" i="10"/>
  <c r="L46" i="10" s="1"/>
  <c r="K47" i="10"/>
  <c r="L47" i="10" s="1"/>
  <c r="K48" i="10"/>
  <c r="L48" i="10" s="1"/>
  <c r="K49" i="10"/>
  <c r="L49" i="10" s="1"/>
  <c r="K50" i="10"/>
  <c r="L50" i="10" s="1"/>
  <c r="K54" i="10"/>
  <c r="L54" i="10" s="1"/>
  <c r="K44" i="10"/>
  <c r="L44" i="10" s="1"/>
  <c r="K43" i="10"/>
  <c r="L43" i="10" s="1"/>
  <c r="K33" i="10"/>
  <c r="L33" i="10" s="1"/>
  <c r="K34" i="10"/>
  <c r="L34" i="10" s="1"/>
  <c r="K35" i="10"/>
  <c r="L35" i="10" s="1"/>
  <c r="K36" i="10"/>
  <c r="L36" i="10" s="1"/>
  <c r="K30" i="10"/>
  <c r="L30" i="10" s="1"/>
  <c r="K17" i="10"/>
  <c r="L17" i="10" s="1"/>
  <c r="K18" i="10"/>
  <c r="L18" i="10" s="1"/>
  <c r="K20" i="10"/>
  <c r="L20" i="10" s="1"/>
  <c r="K21" i="10"/>
  <c r="L21" i="10" s="1"/>
  <c r="K22" i="10"/>
  <c r="L22" i="10" s="1"/>
  <c r="K16" i="10"/>
  <c r="L16" i="10" s="1"/>
  <c r="K15" i="10"/>
  <c r="L15" i="10" s="1"/>
  <c r="H358" i="1"/>
  <c r="I358" i="1" s="1"/>
  <c r="J358" i="1" s="1"/>
  <c r="H359" i="1"/>
  <c r="I359" i="1" s="1"/>
  <c r="J359" i="1" s="1"/>
  <c r="H360" i="1"/>
  <c r="I360" i="1" s="1"/>
  <c r="J360" i="1" s="1"/>
  <c r="H361" i="1"/>
  <c r="I361" i="1" s="1"/>
  <c r="J361" i="1" s="1"/>
  <c r="H199" i="1"/>
  <c r="I199" i="1" s="1"/>
  <c r="J199" i="1" s="1"/>
  <c r="H200" i="1"/>
  <c r="I200" i="1" s="1"/>
  <c r="J200" i="1" s="1"/>
  <c r="H201" i="1"/>
  <c r="I201" i="1" s="1"/>
  <c r="J201" i="1" s="1"/>
  <c r="H202" i="1"/>
  <c r="I202" i="1" s="1"/>
  <c r="J202" i="1" s="1"/>
  <c r="H204" i="1"/>
  <c r="I204" i="1" s="1"/>
  <c r="J204" i="1" s="1"/>
  <c r="H205" i="1"/>
  <c r="I205" i="1" s="1"/>
  <c r="J205" i="1" s="1"/>
  <c r="H206" i="1"/>
  <c r="I206" i="1" s="1"/>
  <c r="J206" i="1" s="1"/>
  <c r="H207" i="1"/>
  <c r="I207" i="1" s="1"/>
  <c r="J207" i="1" s="1"/>
  <c r="H208" i="1"/>
  <c r="I208" i="1" s="1"/>
  <c r="J208" i="1" s="1"/>
  <c r="H210" i="1"/>
  <c r="I210" i="1" s="1"/>
  <c r="J210" i="1" s="1"/>
  <c r="H211" i="1"/>
  <c r="I211" i="1" s="1"/>
  <c r="J211" i="1" s="1"/>
  <c r="H212" i="1"/>
  <c r="I212" i="1" s="1"/>
  <c r="J212" i="1" s="1"/>
  <c r="H213" i="1"/>
  <c r="I213" i="1" s="1"/>
  <c r="J213" i="1" s="1"/>
  <c r="H214" i="1"/>
  <c r="I214" i="1" s="1"/>
  <c r="J214" i="1" s="1"/>
  <c r="H216" i="1"/>
  <c r="I216" i="1" s="1"/>
  <c r="J216" i="1" s="1"/>
  <c r="H217" i="1"/>
  <c r="I217" i="1" s="1"/>
  <c r="J217" i="1" s="1"/>
  <c r="H218" i="1"/>
  <c r="I218" i="1" s="1"/>
  <c r="J218" i="1" s="1"/>
  <c r="H219" i="1"/>
  <c r="I219" i="1" s="1"/>
  <c r="J219" i="1" s="1"/>
  <c r="H220" i="1"/>
  <c r="I220" i="1" s="1"/>
  <c r="J220" i="1" s="1"/>
  <c r="H222" i="1"/>
  <c r="I222" i="1" s="1"/>
  <c r="J222" i="1" s="1"/>
  <c r="H223" i="1"/>
  <c r="I223" i="1" s="1"/>
  <c r="J223" i="1" s="1"/>
  <c r="H224" i="1"/>
  <c r="I224" i="1" s="1"/>
  <c r="J224" i="1" s="1"/>
  <c r="H225" i="1"/>
  <c r="I225" i="1" s="1"/>
  <c r="J225" i="1" s="1"/>
  <c r="H226" i="1"/>
  <c r="I226" i="1" s="1"/>
  <c r="J226" i="1" s="1"/>
  <c r="H228" i="1"/>
  <c r="I228" i="1" s="1"/>
  <c r="J228" i="1" s="1"/>
  <c r="H229" i="1"/>
  <c r="I229" i="1" s="1"/>
  <c r="J229" i="1" s="1"/>
  <c r="H230" i="1"/>
  <c r="I230" i="1" s="1"/>
  <c r="J230" i="1" s="1"/>
  <c r="H231" i="1"/>
  <c r="I231" i="1" s="1"/>
  <c r="J231" i="1" s="1"/>
  <c r="H232" i="1"/>
  <c r="I232" i="1" s="1"/>
  <c r="J232" i="1" s="1"/>
  <c r="H234" i="1"/>
  <c r="I234" i="1" s="1"/>
  <c r="J234" i="1" s="1"/>
  <c r="H235" i="1"/>
  <c r="I235" i="1" s="1"/>
  <c r="J235" i="1" s="1"/>
  <c r="H236" i="1"/>
  <c r="I236" i="1" s="1"/>
  <c r="J236" i="1" s="1"/>
  <c r="H237" i="1"/>
  <c r="I237" i="1" s="1"/>
  <c r="J237" i="1" s="1"/>
  <c r="H238" i="1"/>
  <c r="I238" i="1" s="1"/>
  <c r="J238" i="1" s="1"/>
  <c r="H240" i="1"/>
  <c r="I240" i="1" s="1"/>
  <c r="J240" i="1" s="1"/>
  <c r="H241" i="1"/>
  <c r="I241" i="1" s="1"/>
  <c r="J241" i="1" s="1"/>
  <c r="H242" i="1"/>
  <c r="I242" i="1" s="1"/>
  <c r="J242" i="1" s="1"/>
  <c r="H243" i="1"/>
  <c r="I243" i="1" s="1"/>
  <c r="J243" i="1" s="1"/>
  <c r="H244" i="1"/>
  <c r="I244" i="1" s="1"/>
  <c r="J244" i="1" s="1"/>
  <c r="H246" i="1"/>
  <c r="I246" i="1" s="1"/>
  <c r="J246" i="1" s="1"/>
  <c r="H247" i="1"/>
  <c r="I247" i="1" s="1"/>
  <c r="J247" i="1" s="1"/>
  <c r="H248" i="1"/>
  <c r="I248" i="1" s="1"/>
  <c r="J248" i="1" s="1"/>
  <c r="H249" i="1"/>
  <c r="I249" i="1" s="1"/>
  <c r="J249" i="1" s="1"/>
  <c r="H250" i="1"/>
  <c r="I250" i="1" s="1"/>
  <c r="J250" i="1" s="1"/>
  <c r="H252" i="1"/>
  <c r="I252" i="1" s="1"/>
  <c r="J252" i="1" s="1"/>
  <c r="H253" i="1"/>
  <c r="I253" i="1" s="1"/>
  <c r="J253" i="1" s="1"/>
  <c r="H254" i="1"/>
  <c r="I254" i="1" s="1"/>
  <c r="J254" i="1" s="1"/>
  <c r="H255" i="1"/>
  <c r="I255" i="1" s="1"/>
  <c r="J255" i="1" s="1"/>
  <c r="H256" i="1"/>
  <c r="I256" i="1" s="1"/>
  <c r="J256" i="1" s="1"/>
  <c r="H258" i="1"/>
  <c r="I258" i="1" s="1"/>
  <c r="J258" i="1" s="1"/>
  <c r="H259" i="1"/>
  <c r="I259" i="1" s="1"/>
  <c r="J259" i="1" s="1"/>
  <c r="H260" i="1"/>
  <c r="I260" i="1" s="1"/>
  <c r="J260" i="1" s="1"/>
  <c r="H261" i="1"/>
  <c r="I261" i="1" s="1"/>
  <c r="J261" i="1" s="1"/>
  <c r="H262" i="1"/>
  <c r="I262" i="1" s="1"/>
  <c r="J262" i="1" s="1"/>
  <c r="H264" i="1"/>
  <c r="I264" i="1" s="1"/>
  <c r="J264" i="1" s="1"/>
  <c r="H265" i="1"/>
  <c r="I265" i="1" s="1"/>
  <c r="J265" i="1" s="1"/>
  <c r="H266" i="1"/>
  <c r="I266" i="1" s="1"/>
  <c r="J266" i="1" s="1"/>
  <c r="H267" i="1"/>
  <c r="I267" i="1" s="1"/>
  <c r="J267" i="1" s="1"/>
  <c r="H268" i="1"/>
  <c r="I268" i="1" s="1"/>
  <c r="J268" i="1" s="1"/>
  <c r="H270" i="1"/>
  <c r="I270" i="1" s="1"/>
  <c r="J270" i="1" s="1"/>
  <c r="H271" i="1"/>
  <c r="I271" i="1" s="1"/>
  <c r="J271" i="1" s="1"/>
  <c r="H272" i="1"/>
  <c r="I272" i="1" s="1"/>
  <c r="J272" i="1" s="1"/>
  <c r="H273" i="1"/>
  <c r="I273" i="1" s="1"/>
  <c r="J273" i="1" s="1"/>
  <c r="H274" i="1"/>
  <c r="I274" i="1" s="1"/>
  <c r="J274" i="1" s="1"/>
  <c r="H276" i="1"/>
  <c r="I276" i="1" s="1"/>
  <c r="J276" i="1" s="1"/>
  <c r="H279" i="1"/>
  <c r="I279" i="1" s="1"/>
  <c r="J279" i="1" s="1"/>
  <c r="H280" i="1"/>
  <c r="I280" i="1" s="1"/>
  <c r="J280" i="1" s="1"/>
  <c r="H281" i="1"/>
  <c r="I281" i="1" s="1"/>
  <c r="J281" i="1" s="1"/>
  <c r="H282" i="1"/>
  <c r="I282" i="1" s="1"/>
  <c r="J282" i="1" s="1"/>
  <c r="H283" i="1"/>
  <c r="I283" i="1" s="1"/>
  <c r="J283" i="1" s="1"/>
  <c r="H285" i="1"/>
  <c r="I285" i="1" s="1"/>
  <c r="J285" i="1" s="1"/>
  <c r="H286" i="1"/>
  <c r="I286" i="1" s="1"/>
  <c r="J286" i="1" s="1"/>
  <c r="H287" i="1"/>
  <c r="I287" i="1" s="1"/>
  <c r="J287" i="1" s="1"/>
  <c r="H288" i="1"/>
  <c r="I288" i="1" s="1"/>
  <c r="J288" i="1" s="1"/>
  <c r="H289" i="1"/>
  <c r="I289" i="1" s="1"/>
  <c r="J289" i="1" s="1"/>
  <c r="H291" i="1"/>
  <c r="I291" i="1" s="1"/>
  <c r="J291" i="1" s="1"/>
  <c r="H292" i="1"/>
  <c r="I292" i="1" s="1"/>
  <c r="J292" i="1" s="1"/>
  <c r="H293" i="1"/>
  <c r="I293" i="1" s="1"/>
  <c r="J293" i="1" s="1"/>
  <c r="H294" i="1"/>
  <c r="I294" i="1" s="1"/>
  <c r="J294" i="1" s="1"/>
  <c r="H295" i="1"/>
  <c r="I295" i="1" s="1"/>
  <c r="J295" i="1" s="1"/>
  <c r="H297" i="1"/>
  <c r="I297" i="1" s="1"/>
  <c r="J297" i="1" s="1"/>
  <c r="H298" i="1"/>
  <c r="I298" i="1" s="1"/>
  <c r="J298" i="1" s="1"/>
  <c r="H299" i="1"/>
  <c r="I299" i="1" s="1"/>
  <c r="J299" i="1" s="1"/>
  <c r="H300" i="1"/>
  <c r="I300" i="1" s="1"/>
  <c r="J300" i="1" s="1"/>
  <c r="H301" i="1"/>
  <c r="I301" i="1" s="1"/>
  <c r="J301" i="1" s="1"/>
  <c r="H303" i="1"/>
  <c r="I303" i="1" s="1"/>
  <c r="J303" i="1" s="1"/>
  <c r="H304" i="1"/>
  <c r="I304" i="1" s="1"/>
  <c r="J304" i="1" s="1"/>
  <c r="H305" i="1"/>
  <c r="I305" i="1" s="1"/>
  <c r="J305" i="1" s="1"/>
  <c r="H306" i="1"/>
  <c r="I306" i="1" s="1"/>
  <c r="J306" i="1" s="1"/>
  <c r="H307" i="1"/>
  <c r="I307" i="1" s="1"/>
  <c r="J307" i="1" s="1"/>
  <c r="H319" i="1"/>
  <c r="I319" i="1" s="1"/>
  <c r="J319" i="1" s="1"/>
  <c r="H321" i="1"/>
  <c r="I321" i="1" s="1"/>
  <c r="J321" i="1" s="1"/>
  <c r="H323" i="1"/>
  <c r="I323" i="1" s="1"/>
  <c r="J323" i="1" s="1"/>
  <c r="H325" i="1"/>
  <c r="I325" i="1" s="1"/>
  <c r="J325" i="1" s="1"/>
  <c r="G67" i="1"/>
  <c r="H67" i="1" s="1"/>
  <c r="I67" i="1" s="1"/>
  <c r="J67" i="1" s="1"/>
  <c r="I35" i="1"/>
  <c r="J35" i="1" s="1"/>
  <c r="I34" i="1"/>
  <c r="J34" i="1" s="1"/>
  <c r="H33" i="1"/>
  <c r="I33" i="1" s="1"/>
  <c r="J33" i="1" s="1"/>
  <c r="I13" i="1"/>
  <c r="J13" i="1" s="1"/>
  <c r="I14" i="1"/>
  <c r="J14" i="1" s="1"/>
  <c r="G198" i="1"/>
  <c r="H198" i="1" s="1"/>
  <c r="I198" i="1" s="1"/>
  <c r="J198" i="1" s="1"/>
  <c r="F198" i="1"/>
  <c r="P317" i="1" l="1"/>
  <c r="P313" i="1"/>
  <c r="P315" i="1"/>
  <c r="P310" i="1"/>
  <c r="P309" i="1"/>
  <c r="P311" i="1"/>
  <c r="P312" i="1"/>
  <c r="K295" i="1"/>
  <c r="L295" i="1" s="1"/>
  <c r="M295" i="1" s="1"/>
  <c r="N295" i="1" s="1"/>
  <c r="O295" i="1" s="1"/>
  <c r="Q295" i="1" s="1"/>
  <c r="R295" i="1" s="1"/>
  <c r="S295" i="1" s="1"/>
  <c r="K255" i="1"/>
  <c r="L255" i="1" s="1"/>
  <c r="M255" i="1" s="1"/>
  <c r="N255" i="1" s="1"/>
  <c r="O255" i="1" s="1"/>
  <c r="Q255" i="1" s="1"/>
  <c r="R255" i="1" s="1"/>
  <c r="S255" i="1" s="1"/>
  <c r="K207" i="1"/>
  <c r="L207" i="1" s="1"/>
  <c r="M207" i="1" s="1"/>
  <c r="N207" i="1" s="1"/>
  <c r="O207" i="1" s="1"/>
  <c r="Q207" i="1" s="1"/>
  <c r="R207" i="1" s="1"/>
  <c r="S207" i="1" s="1"/>
  <c r="K67" i="1"/>
  <c r="L67" i="1"/>
  <c r="M67" i="1" s="1"/>
  <c r="N67" i="1" s="1"/>
  <c r="O67" i="1" s="1"/>
  <c r="Q67" i="1" s="1"/>
  <c r="R67" i="1" s="1"/>
  <c r="S67" i="1" s="1"/>
  <c r="K294" i="1"/>
  <c r="L294" i="1" s="1"/>
  <c r="M294" i="1" s="1"/>
  <c r="N294" i="1" s="1"/>
  <c r="O294" i="1" s="1"/>
  <c r="Q294" i="1" s="1"/>
  <c r="R294" i="1" s="1"/>
  <c r="S294" i="1" s="1"/>
  <c r="K273" i="1"/>
  <c r="L273" i="1" s="1"/>
  <c r="M273" i="1" s="1"/>
  <c r="N273" i="1" s="1"/>
  <c r="O273" i="1" s="1"/>
  <c r="Q273" i="1" s="1"/>
  <c r="R273" i="1" s="1"/>
  <c r="S273" i="1" s="1"/>
  <c r="K264" i="1"/>
  <c r="L264" i="1" s="1"/>
  <c r="M264" i="1" s="1"/>
  <c r="N264" i="1" s="1"/>
  <c r="O264" i="1" s="1"/>
  <c r="Q264" i="1" s="1"/>
  <c r="R264" i="1" s="1"/>
  <c r="S264" i="1" s="1"/>
  <c r="K254" i="1"/>
  <c r="L254" i="1" s="1"/>
  <c r="M254" i="1" s="1"/>
  <c r="N254" i="1" s="1"/>
  <c r="O254" i="1" s="1"/>
  <c r="Q254" i="1" s="1"/>
  <c r="R254" i="1" s="1"/>
  <c r="S254" i="1" s="1"/>
  <c r="K244" i="1"/>
  <c r="L244" i="1" s="1"/>
  <c r="M244" i="1" s="1"/>
  <c r="N244" i="1" s="1"/>
  <c r="O244" i="1" s="1"/>
  <c r="Q244" i="1" s="1"/>
  <c r="R244" i="1" s="1"/>
  <c r="S244" i="1" s="1"/>
  <c r="K235" i="1"/>
  <c r="L235" i="1" s="1"/>
  <c r="M235" i="1" s="1"/>
  <c r="N235" i="1" s="1"/>
  <c r="O235" i="1" s="1"/>
  <c r="Q235" i="1" s="1"/>
  <c r="R235" i="1" s="1"/>
  <c r="S235" i="1" s="1"/>
  <c r="K225" i="1"/>
  <c r="L225" i="1" s="1"/>
  <c r="M225" i="1" s="1"/>
  <c r="N225" i="1" s="1"/>
  <c r="O225" i="1" s="1"/>
  <c r="Q225" i="1" s="1"/>
  <c r="R225" i="1" s="1"/>
  <c r="S225" i="1" s="1"/>
  <c r="K216" i="1"/>
  <c r="L216" i="1" s="1"/>
  <c r="M216" i="1" s="1"/>
  <c r="N216" i="1" s="1"/>
  <c r="O216" i="1" s="1"/>
  <c r="Q216" i="1" s="1"/>
  <c r="R216" i="1" s="1"/>
  <c r="S216" i="1" s="1"/>
  <c r="K206" i="1"/>
  <c r="L206" i="1" s="1"/>
  <c r="M206" i="1" s="1"/>
  <c r="N206" i="1" s="1"/>
  <c r="O206" i="1" s="1"/>
  <c r="Q206" i="1" s="1"/>
  <c r="R206" i="1" s="1"/>
  <c r="S206" i="1" s="1"/>
  <c r="K360" i="1"/>
  <c r="L360" i="1" s="1"/>
  <c r="M360" i="1" s="1"/>
  <c r="N360" i="1" s="1"/>
  <c r="O360" i="1" s="1"/>
  <c r="Q360" i="1" s="1"/>
  <c r="R360" i="1" s="1"/>
  <c r="S360" i="1" s="1"/>
  <c r="K87" i="1"/>
  <c r="L87" i="1"/>
  <c r="M87" i="1" s="1"/>
  <c r="N87" i="1" s="1"/>
  <c r="O87" i="1" s="1"/>
  <c r="Q87" i="1" s="1"/>
  <c r="R87" i="1" s="1"/>
  <c r="S87" i="1" s="1"/>
  <c r="K286" i="1"/>
  <c r="L286" i="1" s="1"/>
  <c r="M286" i="1" s="1"/>
  <c r="N286" i="1" s="1"/>
  <c r="O286" i="1" s="1"/>
  <c r="Q286" i="1" s="1"/>
  <c r="R286" i="1" s="1"/>
  <c r="S286" i="1" s="1"/>
  <c r="K226" i="1"/>
  <c r="L226" i="1" s="1"/>
  <c r="M226" i="1" s="1"/>
  <c r="N226" i="1" s="1"/>
  <c r="O226" i="1" s="1"/>
  <c r="Q226" i="1" s="1"/>
  <c r="R226" i="1" s="1"/>
  <c r="S226" i="1" s="1"/>
  <c r="K304" i="1"/>
  <c r="L304" i="1" s="1"/>
  <c r="M304" i="1" s="1"/>
  <c r="N304" i="1" s="1"/>
  <c r="O304" i="1" s="1"/>
  <c r="Q304" i="1" s="1"/>
  <c r="R304" i="1" s="1"/>
  <c r="S304" i="1" s="1"/>
  <c r="K285" i="1"/>
  <c r="L285" i="1" s="1"/>
  <c r="M285" i="1" s="1"/>
  <c r="N285" i="1" s="1"/>
  <c r="O285" i="1" s="1"/>
  <c r="Q285" i="1" s="1"/>
  <c r="R285" i="1" s="1"/>
  <c r="S285" i="1" s="1"/>
  <c r="K325" i="1"/>
  <c r="L325" i="1" s="1"/>
  <c r="M325" i="1" s="1"/>
  <c r="N325" i="1" s="1"/>
  <c r="O325" i="1" s="1"/>
  <c r="Q325" i="1" s="1"/>
  <c r="R325" i="1" s="1"/>
  <c r="S325" i="1" s="1"/>
  <c r="K303" i="1"/>
  <c r="L303" i="1" s="1"/>
  <c r="M303" i="1" s="1"/>
  <c r="N303" i="1" s="1"/>
  <c r="O303" i="1" s="1"/>
  <c r="Q303" i="1" s="1"/>
  <c r="R303" i="1" s="1"/>
  <c r="S303" i="1" s="1"/>
  <c r="K293" i="1"/>
  <c r="L293" i="1" s="1"/>
  <c r="M293" i="1" s="1"/>
  <c r="N293" i="1" s="1"/>
  <c r="O293" i="1" s="1"/>
  <c r="Q293" i="1" s="1"/>
  <c r="R293" i="1" s="1"/>
  <c r="S293" i="1" s="1"/>
  <c r="K283" i="1"/>
  <c r="L283" i="1" s="1"/>
  <c r="M283" i="1" s="1"/>
  <c r="N283" i="1" s="1"/>
  <c r="O283" i="1" s="1"/>
  <c r="Q283" i="1" s="1"/>
  <c r="R283" i="1" s="1"/>
  <c r="S283" i="1" s="1"/>
  <c r="K272" i="1"/>
  <c r="L272" i="1" s="1"/>
  <c r="M272" i="1" s="1"/>
  <c r="N272" i="1" s="1"/>
  <c r="O272" i="1" s="1"/>
  <c r="Q272" i="1" s="1"/>
  <c r="R272" i="1" s="1"/>
  <c r="S272" i="1" s="1"/>
  <c r="K262" i="1"/>
  <c r="L262" i="1" s="1"/>
  <c r="M262" i="1" s="1"/>
  <c r="N262" i="1" s="1"/>
  <c r="O262" i="1" s="1"/>
  <c r="Q262" i="1" s="1"/>
  <c r="R262" i="1" s="1"/>
  <c r="S262" i="1" s="1"/>
  <c r="K253" i="1"/>
  <c r="L253" i="1" s="1"/>
  <c r="M253" i="1" s="1"/>
  <c r="N253" i="1" s="1"/>
  <c r="O253" i="1" s="1"/>
  <c r="Q253" i="1" s="1"/>
  <c r="R253" i="1" s="1"/>
  <c r="S253" i="1" s="1"/>
  <c r="K243" i="1"/>
  <c r="L243" i="1" s="1"/>
  <c r="M243" i="1" s="1"/>
  <c r="N243" i="1" s="1"/>
  <c r="O243" i="1" s="1"/>
  <c r="Q243" i="1" s="1"/>
  <c r="R243" i="1" s="1"/>
  <c r="S243" i="1" s="1"/>
  <c r="K234" i="1"/>
  <c r="L234" i="1" s="1"/>
  <c r="M234" i="1" s="1"/>
  <c r="N234" i="1" s="1"/>
  <c r="O234" i="1" s="1"/>
  <c r="Q234" i="1" s="1"/>
  <c r="R234" i="1" s="1"/>
  <c r="S234" i="1" s="1"/>
  <c r="K224" i="1"/>
  <c r="L224" i="1" s="1"/>
  <c r="M224" i="1" s="1"/>
  <c r="N224" i="1" s="1"/>
  <c r="O224" i="1" s="1"/>
  <c r="Q224" i="1" s="1"/>
  <c r="R224" i="1" s="1"/>
  <c r="S224" i="1" s="1"/>
  <c r="K214" i="1"/>
  <c r="L214" i="1" s="1"/>
  <c r="M214" i="1" s="1"/>
  <c r="N214" i="1" s="1"/>
  <c r="O214" i="1" s="1"/>
  <c r="Q214" i="1" s="1"/>
  <c r="R214" i="1" s="1"/>
  <c r="S214" i="1" s="1"/>
  <c r="K205" i="1"/>
  <c r="L205" i="1" s="1"/>
  <c r="M205" i="1" s="1"/>
  <c r="N205" i="1" s="1"/>
  <c r="O205" i="1" s="1"/>
  <c r="Q205" i="1" s="1"/>
  <c r="R205" i="1" s="1"/>
  <c r="S205" i="1" s="1"/>
  <c r="K359" i="1"/>
  <c r="L359" i="1" s="1"/>
  <c r="M359" i="1" s="1"/>
  <c r="N359" i="1" s="1"/>
  <c r="O359" i="1" s="1"/>
  <c r="Q359" i="1" s="1"/>
  <c r="R359" i="1" s="1"/>
  <c r="S359" i="1" s="1"/>
  <c r="K35" i="1"/>
  <c r="L35" i="1"/>
  <c r="M35" i="1" s="1"/>
  <c r="N35" i="1" s="1"/>
  <c r="O35" i="1" s="1"/>
  <c r="Q35" i="1" s="1"/>
  <c r="R35" i="1" s="1"/>
  <c r="S35" i="1" s="1"/>
  <c r="K361" i="1"/>
  <c r="L361" i="1" s="1"/>
  <c r="M361" i="1" s="1"/>
  <c r="N361" i="1" s="1"/>
  <c r="K198" i="1"/>
  <c r="L198" i="1" s="1"/>
  <c r="M198" i="1" s="1"/>
  <c r="N198" i="1" s="1"/>
  <c r="O198" i="1" s="1"/>
  <c r="Q198" i="1" s="1"/>
  <c r="R198" i="1" s="1"/>
  <c r="S198" i="1" s="1"/>
  <c r="K271" i="1"/>
  <c r="L271" i="1" s="1"/>
  <c r="M271" i="1" s="1"/>
  <c r="N271" i="1" s="1"/>
  <c r="O271" i="1" s="1"/>
  <c r="Q271" i="1" s="1"/>
  <c r="R271" i="1" s="1"/>
  <c r="S271" i="1" s="1"/>
  <c r="K252" i="1"/>
  <c r="L252" i="1" s="1"/>
  <c r="M252" i="1" s="1"/>
  <c r="N252" i="1" s="1"/>
  <c r="O252" i="1" s="1"/>
  <c r="Q252" i="1" s="1"/>
  <c r="R252" i="1" s="1"/>
  <c r="S252" i="1" s="1"/>
  <c r="K242" i="1"/>
  <c r="L242" i="1" s="1"/>
  <c r="M242" i="1" s="1"/>
  <c r="N242" i="1" s="1"/>
  <c r="O242" i="1" s="1"/>
  <c r="Q242" i="1" s="1"/>
  <c r="R242" i="1" s="1"/>
  <c r="S242" i="1" s="1"/>
  <c r="K232" i="1"/>
  <c r="L232" i="1" s="1"/>
  <c r="M232" i="1" s="1"/>
  <c r="N232" i="1" s="1"/>
  <c r="O232" i="1" s="1"/>
  <c r="Q232" i="1" s="1"/>
  <c r="R232" i="1" s="1"/>
  <c r="S232" i="1" s="1"/>
  <c r="K223" i="1"/>
  <c r="L223" i="1" s="1"/>
  <c r="M223" i="1" s="1"/>
  <c r="N223" i="1" s="1"/>
  <c r="O223" i="1" s="1"/>
  <c r="Q223" i="1" s="1"/>
  <c r="R223" i="1" s="1"/>
  <c r="S223" i="1" s="1"/>
  <c r="K213" i="1"/>
  <c r="L213" i="1" s="1"/>
  <c r="M213" i="1" s="1"/>
  <c r="N213" i="1" s="1"/>
  <c r="O213" i="1" s="1"/>
  <c r="Q213" i="1" s="1"/>
  <c r="R213" i="1" s="1"/>
  <c r="S213" i="1" s="1"/>
  <c r="K204" i="1"/>
  <c r="L204" i="1" s="1"/>
  <c r="M204" i="1" s="1"/>
  <c r="N204" i="1" s="1"/>
  <c r="O204" i="1" s="1"/>
  <c r="Q204" i="1" s="1"/>
  <c r="R204" i="1" s="1"/>
  <c r="S204" i="1" s="1"/>
  <c r="K358" i="1"/>
  <c r="L358" i="1" s="1"/>
  <c r="M358" i="1" s="1"/>
  <c r="N358" i="1" s="1"/>
  <c r="O358" i="1" s="1"/>
  <c r="Q358" i="1" s="1"/>
  <c r="R358" i="1" s="1"/>
  <c r="S358" i="1" s="1"/>
  <c r="K246" i="1"/>
  <c r="L246" i="1" s="1"/>
  <c r="M246" i="1" s="1"/>
  <c r="N246" i="1" s="1"/>
  <c r="O246" i="1" s="1"/>
  <c r="Q246" i="1" s="1"/>
  <c r="R246" i="1" s="1"/>
  <c r="S246" i="1" s="1"/>
  <c r="K282" i="1"/>
  <c r="L282" i="1" s="1"/>
  <c r="M282" i="1" s="1"/>
  <c r="N282" i="1" s="1"/>
  <c r="O282" i="1" s="1"/>
  <c r="Q282" i="1" s="1"/>
  <c r="R282" i="1" s="1"/>
  <c r="S282" i="1" s="1"/>
  <c r="K14" i="1"/>
  <c r="L14" i="1"/>
  <c r="M14" i="1" s="1"/>
  <c r="N14" i="1" s="1"/>
  <c r="O14" i="1" s="1"/>
  <c r="Q14" i="1" s="1"/>
  <c r="R14" i="1" s="1"/>
  <c r="S14" i="1" s="1"/>
  <c r="K321" i="1"/>
  <c r="L321" i="1" s="1"/>
  <c r="M321" i="1" s="1"/>
  <c r="N321" i="1" s="1"/>
  <c r="O321" i="1" s="1"/>
  <c r="Q321" i="1" s="1"/>
  <c r="R321" i="1" s="1"/>
  <c r="S321" i="1" s="1"/>
  <c r="K300" i="1"/>
  <c r="L300" i="1" s="1"/>
  <c r="M300" i="1" s="1"/>
  <c r="N300" i="1" s="1"/>
  <c r="O300" i="1" s="1"/>
  <c r="Q300" i="1" s="1"/>
  <c r="R300" i="1" s="1"/>
  <c r="S300" i="1" s="1"/>
  <c r="K291" i="1"/>
  <c r="L291" i="1" s="1"/>
  <c r="M291" i="1" s="1"/>
  <c r="N291" i="1" s="1"/>
  <c r="O291" i="1" s="1"/>
  <c r="Q291" i="1" s="1"/>
  <c r="R291" i="1" s="1"/>
  <c r="S291" i="1" s="1"/>
  <c r="K281" i="1"/>
  <c r="L281" i="1" s="1"/>
  <c r="M281" i="1" s="1"/>
  <c r="N281" i="1" s="1"/>
  <c r="O281" i="1" s="1"/>
  <c r="Q281" i="1" s="1"/>
  <c r="R281" i="1" s="1"/>
  <c r="S281" i="1" s="1"/>
  <c r="K270" i="1"/>
  <c r="L270" i="1" s="1"/>
  <c r="M270" i="1" s="1"/>
  <c r="N270" i="1" s="1"/>
  <c r="O270" i="1" s="1"/>
  <c r="Q270" i="1" s="1"/>
  <c r="R270" i="1" s="1"/>
  <c r="S270" i="1" s="1"/>
  <c r="K260" i="1"/>
  <c r="L260" i="1" s="1"/>
  <c r="M260" i="1" s="1"/>
  <c r="N260" i="1" s="1"/>
  <c r="O260" i="1" s="1"/>
  <c r="Q260" i="1" s="1"/>
  <c r="R260" i="1" s="1"/>
  <c r="S260" i="1" s="1"/>
  <c r="K250" i="1"/>
  <c r="L250" i="1" s="1"/>
  <c r="M250" i="1" s="1"/>
  <c r="N250" i="1" s="1"/>
  <c r="O250" i="1" s="1"/>
  <c r="Q250" i="1" s="1"/>
  <c r="R250" i="1" s="1"/>
  <c r="S250" i="1" s="1"/>
  <c r="K241" i="1"/>
  <c r="L241" i="1" s="1"/>
  <c r="M241" i="1" s="1"/>
  <c r="N241" i="1" s="1"/>
  <c r="O241" i="1" s="1"/>
  <c r="Q241" i="1" s="1"/>
  <c r="R241" i="1" s="1"/>
  <c r="S241" i="1" s="1"/>
  <c r="K231" i="1"/>
  <c r="L231" i="1" s="1"/>
  <c r="M231" i="1" s="1"/>
  <c r="N231" i="1" s="1"/>
  <c r="O231" i="1" s="1"/>
  <c r="Q231" i="1" s="1"/>
  <c r="R231" i="1" s="1"/>
  <c r="S231" i="1" s="1"/>
  <c r="K222" i="1"/>
  <c r="L222" i="1" s="1"/>
  <c r="M222" i="1" s="1"/>
  <c r="N222" i="1" s="1"/>
  <c r="O222" i="1" s="1"/>
  <c r="Q222" i="1" s="1"/>
  <c r="R222" i="1" s="1"/>
  <c r="S222" i="1" s="1"/>
  <c r="K212" i="1"/>
  <c r="L212" i="1" s="1"/>
  <c r="M212" i="1" s="1"/>
  <c r="N212" i="1" s="1"/>
  <c r="O212" i="1" s="1"/>
  <c r="Q212" i="1" s="1"/>
  <c r="R212" i="1" s="1"/>
  <c r="S212" i="1" s="1"/>
  <c r="K202" i="1"/>
  <c r="L202" i="1" s="1"/>
  <c r="M202" i="1" s="1"/>
  <c r="N202" i="1" s="1"/>
  <c r="O202" i="1" s="1"/>
  <c r="Q202" i="1" s="1"/>
  <c r="R202" i="1" s="1"/>
  <c r="S202" i="1" s="1"/>
  <c r="K305" i="1"/>
  <c r="L305" i="1" s="1"/>
  <c r="M305" i="1" s="1"/>
  <c r="N305" i="1" s="1"/>
  <c r="O305" i="1" s="1"/>
  <c r="Q305" i="1" s="1"/>
  <c r="R305" i="1" s="1"/>
  <c r="S305" i="1" s="1"/>
  <c r="K265" i="1"/>
  <c r="L265" i="1" s="1"/>
  <c r="M265" i="1" s="1"/>
  <c r="N265" i="1" s="1"/>
  <c r="O265" i="1" s="1"/>
  <c r="Q265" i="1" s="1"/>
  <c r="R265" i="1" s="1"/>
  <c r="S265" i="1" s="1"/>
  <c r="K217" i="1"/>
  <c r="L217" i="1" s="1"/>
  <c r="M217" i="1" s="1"/>
  <c r="N217" i="1" s="1"/>
  <c r="O217" i="1" s="1"/>
  <c r="Q217" i="1" s="1"/>
  <c r="R217" i="1" s="1"/>
  <c r="S217" i="1" s="1"/>
  <c r="K301" i="1"/>
  <c r="L301" i="1" s="1"/>
  <c r="M301" i="1" s="1"/>
  <c r="N301" i="1" s="1"/>
  <c r="O301" i="1" s="1"/>
  <c r="Q301" i="1" s="1"/>
  <c r="R301" i="1" s="1"/>
  <c r="S301" i="1" s="1"/>
  <c r="K261" i="1"/>
  <c r="L261" i="1" s="1"/>
  <c r="M261" i="1" s="1"/>
  <c r="N261" i="1" s="1"/>
  <c r="O261" i="1" s="1"/>
  <c r="Q261" i="1" s="1"/>
  <c r="R261" i="1" s="1"/>
  <c r="S261" i="1" s="1"/>
  <c r="K13" i="1"/>
  <c r="L13" i="1"/>
  <c r="M13" i="1" s="1"/>
  <c r="N13" i="1" s="1"/>
  <c r="O13" i="1" s="1"/>
  <c r="Q13" i="1" s="1"/>
  <c r="R13" i="1" s="1"/>
  <c r="S13" i="1" s="1"/>
  <c r="K319" i="1"/>
  <c r="L319" i="1" s="1"/>
  <c r="M319" i="1" s="1"/>
  <c r="N319" i="1" s="1"/>
  <c r="O319" i="1" s="1"/>
  <c r="Q319" i="1" s="1"/>
  <c r="R319" i="1" s="1"/>
  <c r="S319" i="1" s="1"/>
  <c r="K299" i="1"/>
  <c r="L299" i="1" s="1"/>
  <c r="M299" i="1" s="1"/>
  <c r="N299" i="1" s="1"/>
  <c r="O299" i="1" s="1"/>
  <c r="Q299" i="1" s="1"/>
  <c r="R299" i="1" s="1"/>
  <c r="S299" i="1" s="1"/>
  <c r="K289" i="1"/>
  <c r="L289" i="1" s="1"/>
  <c r="M289" i="1" s="1"/>
  <c r="N289" i="1" s="1"/>
  <c r="O289" i="1" s="1"/>
  <c r="Q289" i="1" s="1"/>
  <c r="R289" i="1" s="1"/>
  <c r="S289" i="1" s="1"/>
  <c r="K280" i="1"/>
  <c r="L280" i="1" s="1"/>
  <c r="M280" i="1" s="1"/>
  <c r="N280" i="1" s="1"/>
  <c r="O280" i="1" s="1"/>
  <c r="Q280" i="1" s="1"/>
  <c r="R280" i="1" s="1"/>
  <c r="S280" i="1" s="1"/>
  <c r="K268" i="1"/>
  <c r="L268" i="1" s="1"/>
  <c r="M268" i="1" s="1"/>
  <c r="N268" i="1" s="1"/>
  <c r="O268" i="1" s="1"/>
  <c r="Q268" i="1" s="1"/>
  <c r="R268" i="1" s="1"/>
  <c r="S268" i="1" s="1"/>
  <c r="K259" i="1"/>
  <c r="L259" i="1" s="1"/>
  <c r="M259" i="1" s="1"/>
  <c r="N259" i="1" s="1"/>
  <c r="O259" i="1" s="1"/>
  <c r="Q259" i="1" s="1"/>
  <c r="R259" i="1" s="1"/>
  <c r="S259" i="1" s="1"/>
  <c r="K249" i="1"/>
  <c r="L249" i="1" s="1"/>
  <c r="M249" i="1" s="1"/>
  <c r="N249" i="1" s="1"/>
  <c r="O249" i="1" s="1"/>
  <c r="Q249" i="1" s="1"/>
  <c r="R249" i="1" s="1"/>
  <c r="S249" i="1" s="1"/>
  <c r="K240" i="1"/>
  <c r="L240" i="1" s="1"/>
  <c r="M240" i="1" s="1"/>
  <c r="N240" i="1" s="1"/>
  <c r="O240" i="1" s="1"/>
  <c r="Q240" i="1" s="1"/>
  <c r="R240" i="1" s="1"/>
  <c r="S240" i="1" s="1"/>
  <c r="K230" i="1"/>
  <c r="L230" i="1" s="1"/>
  <c r="M230" i="1" s="1"/>
  <c r="N230" i="1" s="1"/>
  <c r="O230" i="1" s="1"/>
  <c r="Q230" i="1" s="1"/>
  <c r="R230" i="1" s="1"/>
  <c r="S230" i="1" s="1"/>
  <c r="K220" i="1"/>
  <c r="L220" i="1" s="1"/>
  <c r="M220" i="1" s="1"/>
  <c r="N220" i="1" s="1"/>
  <c r="O220" i="1" s="1"/>
  <c r="Q220" i="1" s="1"/>
  <c r="R220" i="1" s="1"/>
  <c r="S220" i="1" s="1"/>
  <c r="K211" i="1"/>
  <c r="L211" i="1" s="1"/>
  <c r="M211" i="1" s="1"/>
  <c r="N211" i="1" s="1"/>
  <c r="O211" i="1" s="1"/>
  <c r="Q211" i="1" s="1"/>
  <c r="R211" i="1" s="1"/>
  <c r="S211" i="1" s="1"/>
  <c r="K201" i="1"/>
  <c r="L201" i="1" s="1"/>
  <c r="M201" i="1" s="1"/>
  <c r="N201" i="1" s="1"/>
  <c r="O201" i="1" s="1"/>
  <c r="Q201" i="1" s="1"/>
  <c r="R201" i="1" s="1"/>
  <c r="S201" i="1" s="1"/>
  <c r="K267" i="1"/>
  <c r="L267" i="1" s="1"/>
  <c r="M267" i="1" s="1"/>
  <c r="N267" i="1" s="1"/>
  <c r="O267" i="1" s="1"/>
  <c r="Q267" i="1" s="1"/>
  <c r="R267" i="1" s="1"/>
  <c r="S267" i="1" s="1"/>
  <c r="K258" i="1"/>
  <c r="L258" i="1" s="1"/>
  <c r="M258" i="1" s="1"/>
  <c r="N258" i="1" s="1"/>
  <c r="O258" i="1" s="1"/>
  <c r="Q258" i="1" s="1"/>
  <c r="R258" i="1" s="1"/>
  <c r="S258" i="1" s="1"/>
  <c r="K248" i="1"/>
  <c r="L248" i="1" s="1"/>
  <c r="M248" i="1" s="1"/>
  <c r="N248" i="1" s="1"/>
  <c r="O248" i="1" s="1"/>
  <c r="Q248" i="1" s="1"/>
  <c r="R248" i="1" s="1"/>
  <c r="S248" i="1" s="1"/>
  <c r="K238" i="1"/>
  <c r="L238" i="1" s="1"/>
  <c r="M238" i="1" s="1"/>
  <c r="N238" i="1" s="1"/>
  <c r="O238" i="1" s="1"/>
  <c r="Q238" i="1" s="1"/>
  <c r="R238" i="1" s="1"/>
  <c r="S238" i="1" s="1"/>
  <c r="K229" i="1"/>
  <c r="L229" i="1" s="1"/>
  <c r="M229" i="1" s="1"/>
  <c r="N229" i="1" s="1"/>
  <c r="O229" i="1" s="1"/>
  <c r="Q229" i="1" s="1"/>
  <c r="R229" i="1" s="1"/>
  <c r="S229" i="1" s="1"/>
  <c r="K219" i="1"/>
  <c r="L219" i="1" s="1"/>
  <c r="M219" i="1" s="1"/>
  <c r="N219" i="1" s="1"/>
  <c r="O219" i="1" s="1"/>
  <c r="Q219" i="1" s="1"/>
  <c r="R219" i="1" s="1"/>
  <c r="S219" i="1" s="1"/>
  <c r="K210" i="1"/>
  <c r="L210" i="1" s="1"/>
  <c r="M210" i="1" s="1"/>
  <c r="N210" i="1" s="1"/>
  <c r="O210" i="1" s="1"/>
  <c r="Q210" i="1" s="1"/>
  <c r="R210" i="1" s="1"/>
  <c r="S210" i="1" s="1"/>
  <c r="K200" i="1"/>
  <c r="L200" i="1" s="1"/>
  <c r="M200" i="1" s="1"/>
  <c r="N200" i="1" s="1"/>
  <c r="O200" i="1" s="1"/>
  <c r="Q200" i="1" s="1"/>
  <c r="R200" i="1" s="1"/>
  <c r="S200" i="1" s="1"/>
  <c r="K274" i="1"/>
  <c r="L274" i="1" s="1"/>
  <c r="M274" i="1" s="1"/>
  <c r="N274" i="1" s="1"/>
  <c r="O274" i="1" s="1"/>
  <c r="Q274" i="1" s="1"/>
  <c r="R274" i="1" s="1"/>
  <c r="S274" i="1" s="1"/>
  <c r="K236" i="1"/>
  <c r="L236" i="1" s="1"/>
  <c r="M236" i="1" s="1"/>
  <c r="N236" i="1" s="1"/>
  <c r="O236" i="1" s="1"/>
  <c r="Q236" i="1" s="1"/>
  <c r="R236" i="1" s="1"/>
  <c r="S236" i="1" s="1"/>
  <c r="K323" i="1"/>
  <c r="L323" i="1" s="1"/>
  <c r="M323" i="1" s="1"/>
  <c r="N323" i="1" s="1"/>
  <c r="O323" i="1" s="1"/>
  <c r="Q323" i="1" s="1"/>
  <c r="R323" i="1" s="1"/>
  <c r="S323" i="1" s="1"/>
  <c r="K292" i="1"/>
  <c r="L292" i="1" s="1"/>
  <c r="M292" i="1" s="1"/>
  <c r="N292" i="1" s="1"/>
  <c r="O292" i="1" s="1"/>
  <c r="Q292" i="1" s="1"/>
  <c r="R292" i="1" s="1"/>
  <c r="S292" i="1" s="1"/>
  <c r="K33" i="1"/>
  <c r="L33" i="1"/>
  <c r="M33" i="1" s="1"/>
  <c r="N33" i="1" s="1"/>
  <c r="O33" i="1" s="1"/>
  <c r="Q33" i="1" s="1"/>
  <c r="R33" i="1" s="1"/>
  <c r="S33" i="1" s="1"/>
  <c r="K307" i="1"/>
  <c r="L307" i="1" s="1"/>
  <c r="M307" i="1" s="1"/>
  <c r="N307" i="1" s="1"/>
  <c r="O307" i="1" s="1"/>
  <c r="Q307" i="1" s="1"/>
  <c r="R307" i="1" s="1"/>
  <c r="S307" i="1" s="1"/>
  <c r="K298" i="1"/>
  <c r="L298" i="1" s="1"/>
  <c r="M298" i="1" s="1"/>
  <c r="N298" i="1" s="1"/>
  <c r="O298" i="1" s="1"/>
  <c r="Q298" i="1" s="1"/>
  <c r="R298" i="1" s="1"/>
  <c r="S298" i="1" s="1"/>
  <c r="K288" i="1"/>
  <c r="L288" i="1" s="1"/>
  <c r="M288" i="1" s="1"/>
  <c r="N288" i="1" s="1"/>
  <c r="O288" i="1" s="1"/>
  <c r="Q288" i="1" s="1"/>
  <c r="R288" i="1" s="1"/>
  <c r="S288" i="1" s="1"/>
  <c r="K279" i="1"/>
  <c r="L279" i="1" s="1"/>
  <c r="M279" i="1" s="1"/>
  <c r="N279" i="1" s="1"/>
  <c r="O279" i="1" s="1"/>
  <c r="Q279" i="1" s="1"/>
  <c r="R279" i="1" s="1"/>
  <c r="S279" i="1" s="1"/>
  <c r="K34" i="1"/>
  <c r="L34" i="1"/>
  <c r="M34" i="1" s="1"/>
  <c r="N34" i="1" s="1"/>
  <c r="O34" i="1" s="1"/>
  <c r="Q34" i="1" s="1"/>
  <c r="R34" i="1" s="1"/>
  <c r="S34" i="1" s="1"/>
  <c r="K306" i="1"/>
  <c r="L306" i="1" s="1"/>
  <c r="M306" i="1" s="1"/>
  <c r="N306" i="1" s="1"/>
  <c r="O306" i="1" s="1"/>
  <c r="Q306" i="1" s="1"/>
  <c r="R306" i="1" s="1"/>
  <c r="S306" i="1" s="1"/>
  <c r="K297" i="1"/>
  <c r="L297" i="1" s="1"/>
  <c r="M297" i="1" s="1"/>
  <c r="N297" i="1" s="1"/>
  <c r="O297" i="1" s="1"/>
  <c r="Q297" i="1" s="1"/>
  <c r="R297" i="1" s="1"/>
  <c r="S297" i="1" s="1"/>
  <c r="K287" i="1"/>
  <c r="L287" i="1" s="1"/>
  <c r="M287" i="1" s="1"/>
  <c r="N287" i="1" s="1"/>
  <c r="O287" i="1" s="1"/>
  <c r="Q287" i="1" s="1"/>
  <c r="R287" i="1" s="1"/>
  <c r="S287" i="1" s="1"/>
  <c r="K276" i="1"/>
  <c r="L276" i="1" s="1"/>
  <c r="M276" i="1" s="1"/>
  <c r="N276" i="1" s="1"/>
  <c r="O276" i="1" s="1"/>
  <c r="Q276" i="1" s="1"/>
  <c r="R276" i="1" s="1"/>
  <c r="S276" i="1" s="1"/>
  <c r="K266" i="1"/>
  <c r="L266" i="1" s="1"/>
  <c r="M266" i="1" s="1"/>
  <c r="N266" i="1" s="1"/>
  <c r="O266" i="1" s="1"/>
  <c r="Q266" i="1" s="1"/>
  <c r="R266" i="1" s="1"/>
  <c r="S266" i="1" s="1"/>
  <c r="K256" i="1"/>
  <c r="L256" i="1" s="1"/>
  <c r="M256" i="1" s="1"/>
  <c r="N256" i="1" s="1"/>
  <c r="O256" i="1" s="1"/>
  <c r="Q256" i="1" s="1"/>
  <c r="R256" i="1" s="1"/>
  <c r="S256" i="1" s="1"/>
  <c r="K247" i="1"/>
  <c r="L247" i="1" s="1"/>
  <c r="M247" i="1" s="1"/>
  <c r="N247" i="1" s="1"/>
  <c r="O247" i="1" s="1"/>
  <c r="Q247" i="1" s="1"/>
  <c r="R247" i="1" s="1"/>
  <c r="S247" i="1" s="1"/>
  <c r="K237" i="1"/>
  <c r="L237" i="1" s="1"/>
  <c r="M237" i="1" s="1"/>
  <c r="N237" i="1" s="1"/>
  <c r="O237" i="1" s="1"/>
  <c r="Q237" i="1" s="1"/>
  <c r="R237" i="1" s="1"/>
  <c r="S237" i="1" s="1"/>
  <c r="K228" i="1"/>
  <c r="L228" i="1" s="1"/>
  <c r="M228" i="1" s="1"/>
  <c r="N228" i="1" s="1"/>
  <c r="O228" i="1" s="1"/>
  <c r="Q228" i="1" s="1"/>
  <c r="R228" i="1" s="1"/>
  <c r="S228" i="1" s="1"/>
  <c r="K218" i="1"/>
  <c r="L218" i="1" s="1"/>
  <c r="M218" i="1" s="1"/>
  <c r="N218" i="1" s="1"/>
  <c r="O218" i="1" s="1"/>
  <c r="Q218" i="1" s="1"/>
  <c r="R218" i="1" s="1"/>
  <c r="S218" i="1" s="1"/>
  <c r="K208" i="1"/>
  <c r="L208" i="1" s="1"/>
  <c r="M208" i="1" s="1"/>
  <c r="N208" i="1" s="1"/>
  <c r="O208" i="1" s="1"/>
  <c r="Q208" i="1" s="1"/>
  <c r="R208" i="1" s="1"/>
  <c r="S208" i="1" s="1"/>
  <c r="K199" i="1"/>
  <c r="L199" i="1" s="1"/>
  <c r="M199" i="1" s="1"/>
  <c r="N199" i="1" s="1"/>
  <c r="O199" i="1" s="1"/>
  <c r="Q199" i="1" s="1"/>
  <c r="R199" i="1" s="1"/>
  <c r="S199" i="1" s="1"/>
  <c r="K139" i="1"/>
  <c r="L139" i="1" s="1"/>
  <c r="M139" i="1" s="1"/>
  <c r="K97" i="1"/>
  <c r="L97" i="1" s="1"/>
  <c r="M97" i="1" s="1"/>
  <c r="K76" i="1"/>
  <c r="L76" i="1" s="1"/>
  <c r="M76" i="1" s="1"/>
  <c r="K16" i="1"/>
  <c r="M16" i="1" s="1"/>
  <c r="N16" i="1" s="1"/>
  <c r="O16" i="1" s="1"/>
  <c r="Q16" i="1" s="1"/>
  <c r="R16" i="1" s="1"/>
  <c r="S16" i="1" s="1"/>
  <c r="P274" i="1" l="1"/>
  <c r="P14" i="1"/>
  <c r="P286" i="1"/>
  <c r="P199" i="1"/>
  <c r="P276" i="1"/>
  <c r="P298" i="1"/>
  <c r="P200" i="1"/>
  <c r="P201" i="1"/>
  <c r="P280" i="1"/>
  <c r="P217" i="1"/>
  <c r="P250" i="1"/>
  <c r="P242" i="1"/>
  <c r="P205" i="1"/>
  <c r="P283" i="1"/>
  <c r="P87" i="1"/>
  <c r="P254" i="1"/>
  <c r="P295" i="1"/>
  <c r="P267" i="1"/>
  <c r="P359" i="1"/>
  <c r="P208" i="1"/>
  <c r="P307" i="1"/>
  <c r="P210" i="1"/>
  <c r="P211" i="1"/>
  <c r="P289" i="1"/>
  <c r="P265" i="1"/>
  <c r="P260" i="1"/>
  <c r="P282" i="1"/>
  <c r="P252" i="1"/>
  <c r="P214" i="1"/>
  <c r="P293" i="1"/>
  <c r="P264" i="1"/>
  <c r="P266" i="1"/>
  <c r="P301" i="1"/>
  <c r="P272" i="1"/>
  <c r="P218" i="1"/>
  <c r="P33" i="1"/>
  <c r="P219" i="1"/>
  <c r="P220" i="1"/>
  <c r="P299" i="1"/>
  <c r="P305" i="1"/>
  <c r="P270" i="1"/>
  <c r="P246" i="1"/>
  <c r="P271" i="1"/>
  <c r="P224" i="1"/>
  <c r="P303" i="1"/>
  <c r="P360" i="1"/>
  <c r="P273" i="1"/>
  <c r="P288" i="1"/>
  <c r="P232" i="1"/>
  <c r="P228" i="1"/>
  <c r="P306" i="1"/>
  <c r="P229" i="1"/>
  <c r="P230" i="1"/>
  <c r="P319" i="1"/>
  <c r="P202" i="1"/>
  <c r="P281" i="1"/>
  <c r="P358" i="1"/>
  <c r="P198" i="1"/>
  <c r="P234" i="1"/>
  <c r="P325" i="1"/>
  <c r="P206" i="1"/>
  <c r="P294" i="1"/>
  <c r="P268" i="1"/>
  <c r="P244" i="1"/>
  <c r="P297" i="1"/>
  <c r="P16" i="1"/>
  <c r="P237" i="1"/>
  <c r="P34" i="1"/>
  <c r="P292" i="1"/>
  <c r="P238" i="1"/>
  <c r="P240" i="1"/>
  <c r="P13" i="1"/>
  <c r="P212" i="1"/>
  <c r="P291" i="1"/>
  <c r="P204" i="1"/>
  <c r="P243" i="1"/>
  <c r="P285" i="1"/>
  <c r="P216" i="1"/>
  <c r="P67" i="1"/>
  <c r="P255" i="1"/>
  <c r="P287" i="1"/>
  <c r="P247" i="1"/>
  <c r="P323" i="1"/>
  <c r="P248" i="1"/>
  <c r="P249" i="1"/>
  <c r="P222" i="1"/>
  <c r="P300" i="1"/>
  <c r="P213" i="1"/>
  <c r="P35" i="1"/>
  <c r="P253" i="1"/>
  <c r="P304" i="1"/>
  <c r="P225" i="1"/>
  <c r="P241" i="1"/>
  <c r="P256" i="1"/>
  <c r="P279" i="1"/>
  <c r="P236" i="1"/>
  <c r="P258" i="1"/>
  <c r="P259" i="1"/>
  <c r="P261" i="1"/>
  <c r="P231" i="1"/>
  <c r="P321" i="1"/>
  <c r="P223" i="1"/>
  <c r="P262" i="1"/>
  <c r="P226" i="1"/>
  <c r="P235" i="1"/>
  <c r="P207" i="1"/>
  <c r="G29" i="1"/>
  <c r="F69" i="1" l="1"/>
  <c r="G69" i="1" s="1"/>
  <c r="H69" i="1" s="1"/>
  <c r="I69" i="1" s="1"/>
  <c r="J69" i="1" s="1"/>
  <c r="F68" i="1"/>
  <c r="G68" i="1" s="1"/>
  <c r="H68" i="1" s="1"/>
  <c r="I68" i="1" s="1"/>
  <c r="J68" i="1" s="1"/>
  <c r="H112" i="10"/>
  <c r="K112" i="10" s="1"/>
  <c r="L112" i="10" s="1"/>
  <c r="H97" i="10"/>
  <c r="K97" i="10" s="1"/>
  <c r="L97" i="10" s="1"/>
  <c r="H88" i="10"/>
  <c r="K88" i="10" s="1"/>
  <c r="L88" i="10" s="1"/>
  <c r="H62" i="10"/>
  <c r="K62" i="10" s="1"/>
  <c r="L62" i="10" s="1"/>
  <c r="G16" i="10"/>
  <c r="K69" i="1" l="1"/>
  <c r="L69" i="1"/>
  <c r="M69" i="1" s="1"/>
  <c r="N69" i="1" s="1"/>
  <c r="O69" i="1" s="1"/>
  <c r="Q69" i="1" s="1"/>
  <c r="R69" i="1" s="1"/>
  <c r="S69" i="1" s="1"/>
  <c r="K68" i="1"/>
  <c r="L68" i="1"/>
  <c r="M68" i="1" s="1"/>
  <c r="N68" i="1" s="1"/>
  <c r="O68" i="1" s="1"/>
  <c r="Q68" i="1" s="1"/>
  <c r="R68" i="1" s="1"/>
  <c r="S68" i="1" s="1"/>
  <c r="G250" i="9"/>
  <c r="H250" i="9" s="1"/>
  <c r="J249" i="9"/>
  <c r="K249" i="9" s="1"/>
  <c r="L249" i="9" s="1"/>
  <c r="M249" i="9" s="1"/>
  <c r="G248" i="9"/>
  <c r="H248" i="9" s="1"/>
  <c r="G247" i="9"/>
  <c r="H247" i="9" s="1"/>
  <c r="G244" i="9"/>
  <c r="H244" i="9" s="1"/>
  <c r="J244" i="9" s="1"/>
  <c r="G243" i="9"/>
  <c r="H243" i="9" s="1"/>
  <c r="G242" i="9"/>
  <c r="H242" i="9" s="1"/>
  <c r="J242" i="9" s="1"/>
  <c r="G239" i="9"/>
  <c r="H238" i="9" s="1"/>
  <c r="G235" i="9"/>
  <c r="H235" i="9" s="1"/>
  <c r="J235" i="9" s="1"/>
  <c r="G234" i="9"/>
  <c r="H234" i="9" s="1"/>
  <c r="J234" i="9" s="1"/>
  <c r="G230" i="9"/>
  <c r="H230" i="9" s="1"/>
  <c r="J230" i="9" s="1"/>
  <c r="G229" i="9"/>
  <c r="H229" i="9" s="1"/>
  <c r="J229" i="9" s="1"/>
  <c r="G228" i="9"/>
  <c r="H228" i="9" s="1"/>
  <c r="J228" i="9" s="1"/>
  <c r="G227" i="9"/>
  <c r="H227" i="9" s="1"/>
  <c r="J227" i="9" s="1"/>
  <c r="G226" i="9"/>
  <c r="H226" i="9" s="1"/>
  <c r="J226" i="9" s="1"/>
  <c r="G225" i="9"/>
  <c r="H225" i="9" s="1"/>
  <c r="J225" i="9" s="1"/>
  <c r="G224" i="9"/>
  <c r="H224" i="9" s="1"/>
  <c r="J224" i="9" s="1"/>
  <c r="G223" i="9"/>
  <c r="H223" i="9" s="1"/>
  <c r="J223" i="9" s="1"/>
  <c r="G218" i="9"/>
  <c r="H218" i="9" s="1"/>
  <c r="J218" i="9" s="1"/>
  <c r="G217" i="9"/>
  <c r="H217" i="9" s="1"/>
  <c r="J217" i="9" s="1"/>
  <c r="G216" i="9"/>
  <c r="H216" i="9" s="1"/>
  <c r="J216" i="9" s="1"/>
  <c r="G215" i="9"/>
  <c r="H215" i="9" s="1"/>
  <c r="J215" i="9" s="1"/>
  <c r="G214" i="9"/>
  <c r="H214" i="9" s="1"/>
  <c r="J214" i="9" s="1"/>
  <c r="G213" i="9"/>
  <c r="H213" i="9" s="1"/>
  <c r="J213" i="9" s="1"/>
  <c r="K213" i="9" s="1"/>
  <c r="L213" i="9" s="1"/>
  <c r="M213" i="9" s="1"/>
  <c r="G204" i="9"/>
  <c r="H204" i="9" s="1"/>
  <c r="J204" i="9" s="1"/>
  <c r="D204" i="9"/>
  <c r="G203" i="9"/>
  <c r="H203" i="9" s="1"/>
  <c r="J203" i="9" s="1"/>
  <c r="D203" i="9"/>
  <c r="G202" i="9"/>
  <c r="H202" i="9" s="1"/>
  <c r="D202" i="9"/>
  <c r="G201" i="9"/>
  <c r="H201" i="9" s="1"/>
  <c r="D201" i="9"/>
  <c r="G200" i="9"/>
  <c r="H200" i="9" s="1"/>
  <c r="D200" i="9"/>
  <c r="G199" i="9"/>
  <c r="H199" i="9" s="1"/>
  <c r="D199" i="9"/>
  <c r="G198" i="9"/>
  <c r="H198" i="9" s="1"/>
  <c r="D198" i="9"/>
  <c r="G195" i="9"/>
  <c r="H195" i="9" s="1"/>
  <c r="D195" i="9"/>
  <c r="G194" i="9"/>
  <c r="H194" i="9" s="1"/>
  <c r="D194" i="9"/>
  <c r="G193" i="9"/>
  <c r="H193" i="9" s="1"/>
  <c r="J193" i="9" s="1"/>
  <c r="D193" i="9"/>
  <c r="G192" i="9"/>
  <c r="H192" i="9" s="1"/>
  <c r="D192" i="9"/>
  <c r="G191" i="9"/>
  <c r="H191" i="9" s="1"/>
  <c r="J191" i="9" s="1"/>
  <c r="D191" i="9"/>
  <c r="G190" i="9"/>
  <c r="H190" i="9" s="1"/>
  <c r="D190" i="9"/>
  <c r="G188" i="9"/>
  <c r="H188" i="9" s="1"/>
  <c r="J188" i="9" s="1"/>
  <c r="D188" i="9"/>
  <c r="G187" i="9"/>
  <c r="H187" i="9" s="1"/>
  <c r="D187" i="9"/>
  <c r="G186" i="9"/>
  <c r="H186" i="9" s="1"/>
  <c r="J186" i="9" s="1"/>
  <c r="D186" i="9"/>
  <c r="G185" i="9"/>
  <c r="H185" i="9" s="1"/>
  <c r="J185" i="9" s="1"/>
  <c r="D185" i="9"/>
  <c r="G182" i="9"/>
  <c r="H182" i="9" s="1"/>
  <c r="K182" i="9" s="1"/>
  <c r="L182" i="9" s="1"/>
  <c r="M182" i="9" s="1"/>
  <c r="D182" i="9"/>
  <c r="G181" i="9"/>
  <c r="H181" i="9" s="1"/>
  <c r="J181" i="9" s="1"/>
  <c r="D181" i="9"/>
  <c r="G180" i="9"/>
  <c r="H180" i="9" s="1"/>
  <c r="D180" i="9"/>
  <c r="G176" i="9"/>
  <c r="H176" i="9" s="1"/>
  <c r="G175" i="9"/>
  <c r="H175" i="9" s="1"/>
  <c r="G174" i="9"/>
  <c r="H174" i="9" s="1"/>
  <c r="J174" i="9" s="1"/>
  <c r="G171" i="9"/>
  <c r="H171" i="9" s="1"/>
  <c r="J171" i="9" s="1"/>
  <c r="G170" i="9"/>
  <c r="H170" i="9" s="1"/>
  <c r="J170" i="9" s="1"/>
  <c r="G169" i="9"/>
  <c r="H169" i="9" s="1"/>
  <c r="G168" i="9"/>
  <c r="H168" i="9" s="1"/>
  <c r="J168" i="9" s="1"/>
  <c r="G167" i="9"/>
  <c r="H167" i="9" s="1"/>
  <c r="J167" i="9" s="1"/>
  <c r="G166" i="9"/>
  <c r="H166" i="9" s="1"/>
  <c r="G165" i="9"/>
  <c r="H165" i="9" s="1"/>
  <c r="G164" i="9"/>
  <c r="H164" i="9" s="1"/>
  <c r="J164" i="9" s="1"/>
  <c r="G163" i="9"/>
  <c r="H163" i="9" s="1"/>
  <c r="J163" i="9" s="1"/>
  <c r="G162" i="9"/>
  <c r="H162" i="9" s="1"/>
  <c r="J162" i="9" s="1"/>
  <c r="G161" i="9"/>
  <c r="H161" i="9" s="1"/>
  <c r="G160" i="9"/>
  <c r="H160" i="9" s="1"/>
  <c r="J160" i="9" s="1"/>
  <c r="G158" i="9"/>
  <c r="H158" i="9" s="1"/>
  <c r="J158" i="9" s="1"/>
  <c r="G157" i="9"/>
  <c r="H157" i="9" s="1"/>
  <c r="G156" i="9"/>
  <c r="H156" i="9" s="1"/>
  <c r="G155" i="9"/>
  <c r="H155" i="9" s="1"/>
  <c r="J155" i="9" s="1"/>
  <c r="G154" i="9"/>
  <c r="H154" i="9" s="1"/>
  <c r="J154" i="9" s="1"/>
  <c r="G153" i="9"/>
  <c r="H153" i="9" s="1"/>
  <c r="J153" i="9" s="1"/>
  <c r="G152" i="9"/>
  <c r="H152" i="9" s="1"/>
  <c r="G151" i="9"/>
  <c r="H151" i="9" s="1"/>
  <c r="J151" i="9" s="1"/>
  <c r="G150" i="9"/>
  <c r="H150" i="9" s="1"/>
  <c r="J150" i="9" s="1"/>
  <c r="G149" i="9"/>
  <c r="H149" i="9" s="1"/>
  <c r="G146" i="9"/>
  <c r="H146" i="9" s="1"/>
  <c r="G144" i="9"/>
  <c r="H144" i="9" s="1"/>
  <c r="J144" i="9" s="1"/>
  <c r="G143" i="9"/>
  <c r="H143" i="9" s="1"/>
  <c r="J143" i="9" s="1"/>
  <c r="G142" i="9"/>
  <c r="H142" i="9" s="1"/>
  <c r="J142" i="9" s="1"/>
  <c r="H141" i="9"/>
  <c r="J141" i="9" s="1"/>
  <c r="G141" i="9"/>
  <c r="G140" i="9"/>
  <c r="H140" i="9" s="1"/>
  <c r="J140" i="9" s="1"/>
  <c r="G139" i="9"/>
  <c r="H139" i="9" s="1"/>
  <c r="J139" i="9" s="1"/>
  <c r="G138" i="9"/>
  <c r="H138" i="9" s="1"/>
  <c r="G136" i="9"/>
  <c r="H136" i="9" s="1"/>
  <c r="G135" i="9"/>
  <c r="H135" i="9" s="1"/>
  <c r="J135" i="9" s="1"/>
  <c r="G134" i="9"/>
  <c r="H134" i="9" s="1"/>
  <c r="J134" i="9" s="1"/>
  <c r="G133" i="9"/>
  <c r="H133" i="9" s="1"/>
  <c r="J133" i="9" s="1"/>
  <c r="G132" i="9"/>
  <c r="H132" i="9" s="1"/>
  <c r="J132" i="9" s="1"/>
  <c r="G131" i="9"/>
  <c r="H131" i="9" s="1"/>
  <c r="J131" i="9" s="1"/>
  <c r="G119" i="9"/>
  <c r="H119" i="9" s="1"/>
  <c r="J119" i="9" s="1"/>
  <c r="D119" i="9"/>
  <c r="G118" i="9"/>
  <c r="H118" i="9" s="1"/>
  <c r="D118" i="9"/>
  <c r="J117" i="9"/>
  <c r="K117" i="9" s="1"/>
  <c r="L117" i="9" s="1"/>
  <c r="M117" i="9" s="1"/>
  <c r="D117" i="9"/>
  <c r="G116" i="9"/>
  <c r="H116" i="9" s="1"/>
  <c r="J116" i="9" s="1"/>
  <c r="D116" i="9"/>
  <c r="H115" i="9"/>
  <c r="J115" i="9" s="1"/>
  <c r="G115" i="9"/>
  <c r="D115" i="9"/>
  <c r="G114" i="9"/>
  <c r="H114" i="9" s="1"/>
  <c r="J114" i="9" s="1"/>
  <c r="D114" i="9"/>
  <c r="G113" i="9"/>
  <c r="H113" i="9" s="1"/>
  <c r="J113" i="9" s="1"/>
  <c r="D113" i="9"/>
  <c r="G111" i="9"/>
  <c r="H111" i="9" s="1"/>
  <c r="D111" i="9"/>
  <c r="G110" i="9"/>
  <c r="H110" i="9" s="1"/>
  <c r="D110" i="9"/>
  <c r="G109" i="9"/>
  <c r="H109" i="9" s="1"/>
  <c r="J109" i="9" s="1"/>
  <c r="D109" i="9"/>
  <c r="G108" i="9"/>
  <c r="H108" i="9" s="1"/>
  <c r="J108" i="9" s="1"/>
  <c r="D108" i="9"/>
  <c r="G107" i="9"/>
  <c r="H107" i="9" s="1"/>
  <c r="J107" i="9" s="1"/>
  <c r="D107" i="9"/>
  <c r="G106" i="9"/>
  <c r="H106" i="9" s="1"/>
  <c r="J106" i="9" s="1"/>
  <c r="D106" i="9"/>
  <c r="G101" i="9"/>
  <c r="H101" i="9" s="1"/>
  <c r="J101" i="9" s="1"/>
  <c r="D101" i="9"/>
  <c r="G100" i="9"/>
  <c r="H100" i="9" s="1"/>
  <c r="J100" i="9" s="1"/>
  <c r="K100" i="9" s="1"/>
  <c r="L100" i="9" s="1"/>
  <c r="M100" i="9" s="1"/>
  <c r="D100" i="9"/>
  <c r="G99" i="9"/>
  <c r="H99" i="9" s="1"/>
  <c r="D99" i="9"/>
  <c r="G98" i="9"/>
  <c r="H98" i="9" s="1"/>
  <c r="J98" i="9" s="1"/>
  <c r="D98" i="9"/>
  <c r="G97" i="9"/>
  <c r="H97" i="9" s="1"/>
  <c r="D97" i="9"/>
  <c r="G96" i="9"/>
  <c r="H96" i="9" s="1"/>
  <c r="J96" i="9" s="1"/>
  <c r="K96" i="9" s="1"/>
  <c r="L96" i="9" s="1"/>
  <c r="M96" i="9" s="1"/>
  <c r="D96" i="9"/>
  <c r="G95" i="9"/>
  <c r="H95" i="9" s="1"/>
  <c r="D95" i="9"/>
  <c r="G93" i="9"/>
  <c r="H93" i="9" s="1"/>
  <c r="D93" i="9"/>
  <c r="G92" i="9"/>
  <c r="H92" i="9" s="1"/>
  <c r="D92" i="9"/>
  <c r="G91" i="9"/>
  <c r="H91" i="9" s="1"/>
  <c r="J91" i="9" s="1"/>
  <c r="K91" i="9" s="1"/>
  <c r="L91" i="9" s="1"/>
  <c r="M91" i="9" s="1"/>
  <c r="N91" i="9" s="1"/>
  <c r="O91" i="9" s="1"/>
  <c r="P91" i="9" s="1"/>
  <c r="Q91" i="9" s="1"/>
  <c r="R91" i="9" s="1"/>
  <c r="D91" i="9"/>
  <c r="G89" i="9"/>
  <c r="H89" i="9" s="1"/>
  <c r="D89" i="9"/>
  <c r="G88" i="9"/>
  <c r="H88" i="9" s="1"/>
  <c r="D88" i="9"/>
  <c r="G85" i="9"/>
  <c r="H85" i="9" s="1"/>
  <c r="D85" i="9"/>
  <c r="G84" i="9"/>
  <c r="H84" i="9" s="1"/>
  <c r="J84" i="9" s="1"/>
  <c r="K84" i="9" s="1"/>
  <c r="L84" i="9" s="1"/>
  <c r="M84" i="9" s="1"/>
  <c r="D84" i="9"/>
  <c r="G82" i="9"/>
  <c r="H82" i="9" s="1"/>
  <c r="D82" i="9"/>
  <c r="G81" i="9"/>
  <c r="H81" i="9" s="1"/>
  <c r="D81" i="9"/>
  <c r="G80" i="9"/>
  <c r="H80" i="9" s="1"/>
  <c r="D80" i="9"/>
  <c r="G79" i="9"/>
  <c r="H79" i="9" s="1"/>
  <c r="J79" i="9" s="1"/>
  <c r="J78" i="9"/>
  <c r="G78" i="9"/>
  <c r="H78" i="9" s="1"/>
  <c r="D78" i="9"/>
  <c r="G77" i="9"/>
  <c r="H77" i="9" s="1"/>
  <c r="D77" i="9"/>
  <c r="G76" i="9"/>
  <c r="H76" i="9" s="1"/>
  <c r="D76" i="9"/>
  <c r="G75" i="9"/>
  <c r="H75" i="9" s="1"/>
  <c r="D75" i="9"/>
  <c r="G74" i="9"/>
  <c r="H74" i="9" s="1"/>
  <c r="D74" i="9"/>
  <c r="G72" i="9"/>
  <c r="H72" i="9" s="1"/>
  <c r="J72" i="9" s="1"/>
  <c r="K72" i="9" s="1"/>
  <c r="L72" i="9" s="1"/>
  <c r="M72" i="9" s="1"/>
  <c r="D72" i="9"/>
  <c r="G71" i="9"/>
  <c r="H71" i="9" s="1"/>
  <c r="D71" i="9"/>
  <c r="G70" i="9"/>
  <c r="H70" i="9" s="1"/>
  <c r="D70" i="9"/>
  <c r="G69" i="9"/>
  <c r="H69" i="9" s="1"/>
  <c r="D69" i="9"/>
  <c r="G68" i="9"/>
  <c r="H68" i="9" s="1"/>
  <c r="D68" i="9"/>
  <c r="G67" i="9"/>
  <c r="H67" i="9" s="1"/>
  <c r="D67" i="9"/>
  <c r="G66" i="9"/>
  <c r="H66" i="9" s="1"/>
  <c r="D66" i="9"/>
  <c r="G65" i="9"/>
  <c r="H65" i="9" s="1"/>
  <c r="G50" i="9"/>
  <c r="H49" i="9" s="1"/>
  <c r="D49" i="9"/>
  <c r="G47" i="9"/>
  <c r="H47" i="9" s="1"/>
  <c r="D47" i="9"/>
  <c r="G45" i="9"/>
  <c r="H45" i="9" s="1"/>
  <c r="D45" i="9"/>
  <c r="G36" i="9"/>
  <c r="H36" i="9" s="1"/>
  <c r="J37" i="9" s="1"/>
  <c r="D36" i="9"/>
  <c r="G33" i="9"/>
  <c r="H33" i="9" s="1"/>
  <c r="D33" i="9"/>
  <c r="G31" i="9"/>
  <c r="H31" i="9" s="1"/>
  <c r="D31" i="9"/>
  <c r="G27" i="9"/>
  <c r="H27" i="9" s="1"/>
  <c r="D27" i="9"/>
  <c r="G26" i="9"/>
  <c r="H26" i="9" s="1"/>
  <c r="D26" i="9"/>
  <c r="G23" i="9"/>
  <c r="H23" i="9" s="1"/>
  <c r="D23" i="9"/>
  <c r="G20" i="9"/>
  <c r="H20" i="9" s="1"/>
  <c r="G16" i="9"/>
  <c r="H16" i="9" s="1"/>
  <c r="G14" i="9"/>
  <c r="H14" i="9" s="1"/>
  <c r="D14" i="9"/>
  <c r="P68" i="1" l="1"/>
  <c r="P69" i="1"/>
  <c r="K193" i="9"/>
  <c r="L193" i="9" s="1"/>
  <c r="M193" i="9" s="1"/>
  <c r="K141" i="9"/>
  <c r="K133" i="9"/>
  <c r="J69" i="9"/>
  <c r="K69" i="9" s="1"/>
  <c r="L69" i="9" s="1"/>
  <c r="M69" i="9" s="1"/>
  <c r="J138" i="9"/>
  <c r="K138" i="9"/>
  <c r="J65" i="9"/>
  <c r="K65" i="9" s="1"/>
  <c r="L65" i="9" s="1"/>
  <c r="M65" i="9" s="1"/>
  <c r="L133" i="9"/>
  <c r="M133" i="9" s="1"/>
  <c r="J136" i="9"/>
  <c r="L141" i="9"/>
  <c r="M141" i="9" s="1"/>
  <c r="J152" i="9"/>
  <c r="K152" i="9"/>
  <c r="L152" i="9" s="1"/>
  <c r="M152" i="9" s="1"/>
  <c r="J161" i="9"/>
  <c r="K161" i="9"/>
  <c r="L161" i="9" s="1"/>
  <c r="M161" i="9" s="1"/>
  <c r="J169" i="9"/>
  <c r="K169" i="9"/>
  <c r="L169" i="9" s="1"/>
  <c r="M169" i="9" s="1"/>
  <c r="J199" i="9"/>
  <c r="K199" i="9"/>
  <c r="L199" i="9" s="1"/>
  <c r="M199" i="9" s="1"/>
  <c r="K79" i="9"/>
  <c r="L79" i="9" s="1"/>
  <c r="M79" i="9" s="1"/>
  <c r="J74" i="9"/>
  <c r="K74" i="9" s="1"/>
  <c r="L74" i="9" s="1"/>
  <c r="M74" i="9" s="1"/>
  <c r="K108" i="9"/>
  <c r="L108" i="9" s="1"/>
  <c r="M108" i="9" s="1"/>
  <c r="J110" i="9"/>
  <c r="K132" i="9"/>
  <c r="K142" i="9"/>
  <c r="J146" i="9"/>
  <c r="K146" i="9" s="1"/>
  <c r="L146" i="9" s="1"/>
  <c r="M146" i="9" s="1"/>
  <c r="K153" i="9"/>
  <c r="L153" i="9" s="1"/>
  <c r="M153" i="9" s="1"/>
  <c r="J156" i="9"/>
  <c r="K156" i="9"/>
  <c r="L156" i="9" s="1"/>
  <c r="M156" i="9" s="1"/>
  <c r="K162" i="9"/>
  <c r="L162" i="9" s="1"/>
  <c r="M162" i="9" s="1"/>
  <c r="J165" i="9"/>
  <c r="K165" i="9"/>
  <c r="L165" i="9" s="1"/>
  <c r="M165" i="9" s="1"/>
  <c r="K170" i="9"/>
  <c r="L170" i="9" s="1"/>
  <c r="M170" i="9" s="1"/>
  <c r="J175" i="9"/>
  <c r="K175" i="9"/>
  <c r="L175" i="9" s="1"/>
  <c r="M175" i="9" s="1"/>
  <c r="K78" i="9"/>
  <c r="L78" i="9" s="1"/>
  <c r="M78" i="9" s="1"/>
  <c r="J149" i="9"/>
  <c r="K149" i="9" s="1"/>
  <c r="L149" i="9" s="1"/>
  <c r="M149" i="9" s="1"/>
  <c r="J157" i="9"/>
  <c r="K157" i="9"/>
  <c r="L157" i="9" s="1"/>
  <c r="M157" i="9" s="1"/>
  <c r="J166" i="9"/>
  <c r="K166" i="9" s="1"/>
  <c r="L166" i="9" s="1"/>
  <c r="M166" i="9" s="1"/>
  <c r="J176" i="9"/>
  <c r="K176" i="9" s="1"/>
  <c r="L176" i="9" s="1"/>
  <c r="M176" i="9" s="1"/>
  <c r="K186" i="9"/>
  <c r="L186" i="9" s="1"/>
  <c r="M186" i="9" s="1"/>
  <c r="J50" i="9"/>
  <c r="K49" i="9" s="1"/>
  <c r="L49" i="9" s="1"/>
  <c r="M49" i="9" s="1"/>
  <c r="K81" i="9"/>
  <c r="L81" i="9" s="1"/>
  <c r="M81" i="9" s="1"/>
  <c r="J81" i="9"/>
  <c r="J95" i="9"/>
  <c r="K95" i="9" s="1"/>
  <c r="L95" i="9" s="1"/>
  <c r="M95" i="9" s="1"/>
  <c r="J15" i="9"/>
  <c r="K14" i="9" s="1"/>
  <c r="J32" i="9"/>
  <c r="K31" i="9" s="1"/>
  <c r="L31" i="9" s="1"/>
  <c r="M31" i="9" s="1"/>
  <c r="J89" i="9"/>
  <c r="K89" i="9" s="1"/>
  <c r="L89" i="9" s="1"/>
  <c r="M89" i="9" s="1"/>
  <c r="N89" i="9" s="1"/>
  <c r="O89" i="9" s="1"/>
  <c r="P89" i="9" s="1"/>
  <c r="Q89" i="9" s="1"/>
  <c r="R89" i="9" s="1"/>
  <c r="S89" i="9" s="1"/>
  <c r="J46" i="9"/>
  <c r="K45" i="9"/>
  <c r="L45" i="9" s="1"/>
  <c r="M45" i="9" s="1"/>
  <c r="J77" i="9"/>
  <c r="K77" i="9"/>
  <c r="L77" i="9" s="1"/>
  <c r="M77" i="9" s="1"/>
  <c r="J76" i="9"/>
  <c r="K76" i="9" s="1"/>
  <c r="L76" i="9" s="1"/>
  <c r="M76" i="9" s="1"/>
  <c r="J82" i="9"/>
  <c r="K82" i="9" s="1"/>
  <c r="L82" i="9" s="1"/>
  <c r="M82" i="9" s="1"/>
  <c r="J93" i="9"/>
  <c r="K93" i="9" s="1"/>
  <c r="L93" i="9" s="1"/>
  <c r="M93" i="9" s="1"/>
  <c r="J22" i="9"/>
  <c r="K20" i="9" s="1"/>
  <c r="J67" i="9"/>
  <c r="K67" i="9" s="1"/>
  <c r="L67" i="9" s="1"/>
  <c r="M67" i="9" s="1"/>
  <c r="J25" i="9"/>
  <c r="K23" i="9" s="1"/>
  <c r="L23" i="9" s="1"/>
  <c r="M23" i="9" s="1"/>
  <c r="J48" i="9"/>
  <c r="K47" i="9" s="1"/>
  <c r="L47" i="9" s="1"/>
  <c r="M47" i="9" s="1"/>
  <c r="J68" i="9"/>
  <c r="K68" i="9" s="1"/>
  <c r="L68" i="9" s="1"/>
  <c r="M68" i="9" s="1"/>
  <c r="J28" i="9"/>
  <c r="K27" i="9" s="1"/>
  <c r="L27" i="9" s="1"/>
  <c r="M27" i="9" s="1"/>
  <c r="J35" i="9"/>
  <c r="K33" i="9" s="1"/>
  <c r="L33" i="9" s="1"/>
  <c r="J71" i="9"/>
  <c r="K71" i="9" s="1"/>
  <c r="L71" i="9" s="1"/>
  <c r="M71" i="9" s="1"/>
  <c r="J88" i="9"/>
  <c r="K88" i="9" s="1"/>
  <c r="L88" i="9" s="1"/>
  <c r="M88" i="9" s="1"/>
  <c r="N88" i="9" s="1"/>
  <c r="O88" i="9" s="1"/>
  <c r="P88" i="9" s="1"/>
  <c r="Q88" i="9" s="1"/>
  <c r="R88" i="9" s="1"/>
  <c r="S88" i="9" s="1"/>
  <c r="J99" i="9"/>
  <c r="J198" i="9"/>
  <c r="K198" i="9" s="1"/>
  <c r="L198" i="9" s="1"/>
  <c r="M198" i="9" s="1"/>
  <c r="J202" i="9"/>
  <c r="K202" i="9" s="1"/>
  <c r="L202" i="9" s="1"/>
  <c r="M202" i="9" s="1"/>
  <c r="J16" i="9"/>
  <c r="J26" i="9"/>
  <c r="K26" i="9" s="1"/>
  <c r="L26" i="9" s="1"/>
  <c r="M26" i="9" s="1"/>
  <c r="K36" i="9"/>
  <c r="L36" i="9" s="1"/>
  <c r="M36" i="9" s="1"/>
  <c r="J66" i="9"/>
  <c r="K66" i="9" s="1"/>
  <c r="L66" i="9" s="1"/>
  <c r="M66" i="9" s="1"/>
  <c r="J70" i="9"/>
  <c r="K70" i="9" s="1"/>
  <c r="L70" i="9" s="1"/>
  <c r="M70" i="9" s="1"/>
  <c r="J75" i="9"/>
  <c r="K75" i="9" s="1"/>
  <c r="L75" i="9" s="1"/>
  <c r="M75" i="9" s="1"/>
  <c r="J80" i="9"/>
  <c r="K80" i="9" s="1"/>
  <c r="L80" i="9" s="1"/>
  <c r="M80" i="9" s="1"/>
  <c r="J85" i="9"/>
  <c r="J92" i="9"/>
  <c r="J97" i="9"/>
  <c r="K97" i="9" s="1"/>
  <c r="L97" i="9" s="1"/>
  <c r="M97" i="9" s="1"/>
  <c r="K106" i="9"/>
  <c r="L106" i="9" s="1"/>
  <c r="M106" i="9" s="1"/>
  <c r="K115" i="9"/>
  <c r="L115" i="9" s="1"/>
  <c r="M115" i="9" s="1"/>
  <c r="K131" i="9"/>
  <c r="K135" i="9"/>
  <c r="K140" i="9"/>
  <c r="K144" i="9"/>
  <c r="L144" i="9" s="1"/>
  <c r="M144" i="9" s="1"/>
  <c r="K151" i="9"/>
  <c r="L151" i="9" s="1"/>
  <c r="M151" i="9" s="1"/>
  <c r="K155" i="9"/>
  <c r="L155" i="9" s="1"/>
  <c r="M155" i="9" s="1"/>
  <c r="K160" i="9"/>
  <c r="L160" i="9" s="1"/>
  <c r="M160" i="9" s="1"/>
  <c r="K164" i="9"/>
  <c r="L164" i="9" s="1"/>
  <c r="M164" i="9" s="1"/>
  <c r="K168" i="9"/>
  <c r="L168" i="9" s="1"/>
  <c r="M168" i="9" s="1"/>
  <c r="K174" i="9"/>
  <c r="L174" i="9" s="1"/>
  <c r="M174" i="9" s="1"/>
  <c r="K204" i="9"/>
  <c r="L204" i="9" s="1"/>
  <c r="M204" i="9" s="1"/>
  <c r="K214" i="9"/>
  <c r="L214" i="9" s="1"/>
  <c r="M214" i="9" s="1"/>
  <c r="K216" i="9"/>
  <c r="L216" i="9" s="1"/>
  <c r="M216" i="9" s="1"/>
  <c r="K218" i="9"/>
  <c r="L218" i="9" s="1"/>
  <c r="M218" i="9" s="1"/>
  <c r="K224" i="9"/>
  <c r="L224" i="9" s="1"/>
  <c r="M224" i="9" s="1"/>
  <c r="K226" i="9"/>
  <c r="L226" i="9" s="1"/>
  <c r="M226" i="9" s="1"/>
  <c r="K228" i="9"/>
  <c r="L228" i="9" s="1"/>
  <c r="M228" i="9" s="1"/>
  <c r="K230" i="9"/>
  <c r="L230" i="9" s="1"/>
  <c r="M230" i="9" s="1"/>
  <c r="K235" i="9"/>
  <c r="L235" i="9" s="1"/>
  <c r="M235" i="9" s="1"/>
  <c r="J248" i="9"/>
  <c r="K248" i="9" s="1"/>
  <c r="L248" i="9" s="1"/>
  <c r="M248" i="9" s="1"/>
  <c r="J192" i="9"/>
  <c r="K192" i="9" s="1"/>
  <c r="L192" i="9" s="1"/>
  <c r="M192" i="9" s="1"/>
  <c r="K244" i="9"/>
  <c r="L244" i="9" s="1"/>
  <c r="M244" i="9" s="1"/>
  <c r="K109" i="9"/>
  <c r="L109" i="9" s="1"/>
  <c r="M109" i="9" s="1"/>
  <c r="J111" i="9"/>
  <c r="K111" i="9" s="1"/>
  <c r="L111" i="9" s="1"/>
  <c r="M111" i="9" s="1"/>
  <c r="K113" i="9"/>
  <c r="L113" i="9" s="1"/>
  <c r="M113" i="9" s="1"/>
  <c r="J118" i="9"/>
  <c r="K118" i="9" s="1"/>
  <c r="L118" i="9" s="1"/>
  <c r="M118" i="9" s="1"/>
  <c r="K119" i="9"/>
  <c r="L119" i="9" s="1"/>
  <c r="M119" i="9" s="1"/>
  <c r="K134" i="9"/>
  <c r="K139" i="9"/>
  <c r="K143" i="9"/>
  <c r="K150" i="9"/>
  <c r="L150" i="9" s="1"/>
  <c r="M150" i="9" s="1"/>
  <c r="K154" i="9"/>
  <c r="L154" i="9" s="1"/>
  <c r="M154" i="9" s="1"/>
  <c r="K158" i="9"/>
  <c r="L158" i="9" s="1"/>
  <c r="M158" i="9" s="1"/>
  <c r="K163" i="9"/>
  <c r="L163" i="9" s="1"/>
  <c r="M163" i="9" s="1"/>
  <c r="K167" i="9"/>
  <c r="L167" i="9" s="1"/>
  <c r="M167" i="9" s="1"/>
  <c r="K171" i="9"/>
  <c r="L171" i="9" s="1"/>
  <c r="M171" i="9" s="1"/>
  <c r="J180" i="9"/>
  <c r="K180" i="9" s="1"/>
  <c r="L180" i="9" s="1"/>
  <c r="M180" i="9" s="1"/>
  <c r="K181" i="9"/>
  <c r="L181" i="9" s="1"/>
  <c r="M181" i="9" s="1"/>
  <c r="K187" i="9"/>
  <c r="L187" i="9" s="1"/>
  <c r="M187" i="9" s="1"/>
  <c r="J190" i="9"/>
  <c r="K190" i="9" s="1"/>
  <c r="L190" i="9" s="1"/>
  <c r="M190" i="9" s="1"/>
  <c r="K191" i="9"/>
  <c r="L191" i="9" s="1"/>
  <c r="M191" i="9" s="1"/>
  <c r="J195" i="9"/>
  <c r="K195" i="9" s="1"/>
  <c r="L195" i="9" s="1"/>
  <c r="M195" i="9" s="1"/>
  <c r="J201" i="9"/>
  <c r="K201" i="9" s="1"/>
  <c r="L201" i="9" s="1"/>
  <c r="M201" i="9" s="1"/>
  <c r="K101" i="9"/>
  <c r="L101" i="9" s="1"/>
  <c r="M101" i="9" s="1"/>
  <c r="K114" i="9"/>
  <c r="L114" i="9" s="1"/>
  <c r="M114" i="9" s="1"/>
  <c r="K242" i="9"/>
  <c r="L242" i="9" s="1"/>
  <c r="M242" i="9" s="1"/>
  <c r="K107" i="9"/>
  <c r="L107" i="9" s="1"/>
  <c r="M107" i="9" s="1"/>
  <c r="K116" i="9"/>
  <c r="L116" i="9" s="1"/>
  <c r="M116" i="9" s="1"/>
  <c r="K185" i="9"/>
  <c r="L185" i="9" s="1"/>
  <c r="M185" i="9" s="1"/>
  <c r="J187" i="9"/>
  <c r="K188" i="9"/>
  <c r="L188" i="9" s="1"/>
  <c r="M188" i="9" s="1"/>
  <c r="J194" i="9"/>
  <c r="K194" i="9" s="1"/>
  <c r="L194" i="9" s="1"/>
  <c r="M194" i="9" s="1"/>
  <c r="J200" i="9"/>
  <c r="K200" i="9" s="1"/>
  <c r="L200" i="9" s="1"/>
  <c r="M200" i="9" s="1"/>
  <c r="K203" i="9"/>
  <c r="L203" i="9" s="1"/>
  <c r="M203" i="9" s="1"/>
  <c r="K215" i="9"/>
  <c r="L215" i="9" s="1"/>
  <c r="M215" i="9" s="1"/>
  <c r="K217" i="9"/>
  <c r="L217" i="9" s="1"/>
  <c r="M217" i="9" s="1"/>
  <c r="K223" i="9"/>
  <c r="L223" i="9" s="1"/>
  <c r="M223" i="9" s="1"/>
  <c r="K225" i="9"/>
  <c r="L225" i="9" s="1"/>
  <c r="M225" i="9" s="1"/>
  <c r="K227" i="9"/>
  <c r="L227" i="9" s="1"/>
  <c r="M227" i="9" s="1"/>
  <c r="K229" i="9"/>
  <c r="L229" i="9" s="1"/>
  <c r="M229" i="9" s="1"/>
  <c r="K234" i="9"/>
  <c r="L234" i="9" s="1"/>
  <c r="M234" i="9" s="1"/>
  <c r="J239" i="9"/>
  <c r="K238" i="9" s="1"/>
  <c r="L238" i="9" s="1"/>
  <c r="M238" i="9" s="1"/>
  <c r="J243" i="9"/>
  <c r="K243" i="9" s="1"/>
  <c r="L243" i="9" s="1"/>
  <c r="M243" i="9" s="1"/>
  <c r="J247" i="9"/>
  <c r="K247" i="9" s="1"/>
  <c r="L247" i="9" s="1"/>
  <c r="M247" i="9" s="1"/>
  <c r="J250" i="9"/>
  <c r="K250" i="9" s="1"/>
  <c r="L250" i="9" s="1"/>
  <c r="M250" i="9" s="1"/>
  <c r="L20" i="9" l="1"/>
  <c r="M20" i="9" s="1"/>
  <c r="L143" i="9"/>
  <c r="M143" i="9" s="1"/>
  <c r="L140" i="9"/>
  <c r="M140" i="9" s="1"/>
  <c r="K92" i="9"/>
  <c r="L92" i="9" s="1"/>
  <c r="M92" i="9" s="1"/>
  <c r="K16" i="9"/>
  <c r="L16" i="9" s="1"/>
  <c r="M16" i="9" s="1"/>
  <c r="L14" i="9"/>
  <c r="M14" i="9" s="1"/>
  <c r="L142" i="9"/>
  <c r="M142" i="9" s="1"/>
  <c r="L139" i="9"/>
  <c r="M139" i="9" s="1"/>
  <c r="L135" i="9"/>
  <c r="M135" i="9" s="1"/>
  <c r="K85" i="9"/>
  <c r="L85" i="9" s="1"/>
  <c r="M85" i="9" s="1"/>
  <c r="K99" i="9"/>
  <c r="L99" i="9" s="1"/>
  <c r="M99" i="9" s="1"/>
  <c r="L132" i="9"/>
  <c r="M132" i="9" s="1"/>
  <c r="L138" i="9"/>
  <c r="M138" i="9" s="1"/>
  <c r="L134" i="9"/>
  <c r="M134" i="9" s="1"/>
  <c r="L131" i="9"/>
  <c r="M131" i="9" s="1"/>
  <c r="K110" i="9"/>
  <c r="L110" i="9" s="1"/>
  <c r="M110" i="9" s="1"/>
  <c r="K136" i="9"/>
  <c r="K98" i="9"/>
  <c r="L98" i="9" s="1"/>
  <c r="M98" i="9" s="1"/>
  <c r="L136" i="9" l="1"/>
  <c r="M136" i="9" s="1"/>
  <c r="F43" i="1"/>
  <c r="G43" i="1" s="1"/>
  <c r="H43" i="1" s="1"/>
  <c r="I43" i="1" s="1"/>
  <c r="J43" i="1" s="1"/>
  <c r="G39" i="1"/>
  <c r="H39" i="1" s="1"/>
  <c r="I39" i="1" s="1"/>
  <c r="J39" i="1" s="1"/>
  <c r="G40" i="1"/>
  <c r="H40" i="1" s="1"/>
  <c r="I40" i="1" s="1"/>
  <c r="J40" i="1" s="1"/>
  <c r="G41" i="1"/>
  <c r="H41" i="1" s="1"/>
  <c r="I41" i="1" s="1"/>
  <c r="J41" i="1" s="1"/>
  <c r="G38" i="1"/>
  <c r="H38" i="1" s="1"/>
  <c r="I38" i="1" s="1"/>
  <c r="J38" i="1" s="1"/>
  <c r="H29" i="1"/>
  <c r="I29" i="1" s="1"/>
  <c r="J29" i="1" s="1"/>
  <c r="F30" i="1"/>
  <c r="G30" i="1" s="1"/>
  <c r="H30" i="1" s="1"/>
  <c r="I30" i="1" s="1"/>
  <c r="J30" i="1" s="1"/>
  <c r="F31" i="1"/>
  <c r="G31" i="1" s="1"/>
  <c r="G18" i="1"/>
  <c r="H18" i="1" s="1"/>
  <c r="I18" i="1" s="1"/>
  <c r="J18" i="1" s="1"/>
  <c r="G19" i="1"/>
  <c r="H19" i="1" s="1"/>
  <c r="I19" i="1" s="1"/>
  <c r="J19" i="1" s="1"/>
  <c r="G20" i="1"/>
  <c r="H20" i="1" s="1"/>
  <c r="I20" i="1" s="1"/>
  <c r="J20" i="1" s="1"/>
  <c r="G17" i="1"/>
  <c r="H17" i="1" s="1"/>
  <c r="I17" i="1" s="1"/>
  <c r="J17" i="1" s="1"/>
  <c r="K17" i="1" l="1"/>
  <c r="L17" i="1"/>
  <c r="M17" i="1" s="1"/>
  <c r="N17" i="1" s="1"/>
  <c r="O17" i="1" s="1"/>
  <c r="Q17" i="1" s="1"/>
  <c r="R17" i="1" s="1"/>
  <c r="S17" i="1" s="1"/>
  <c r="K40" i="1"/>
  <c r="L40" i="1"/>
  <c r="M40" i="1" s="1"/>
  <c r="N40" i="1" s="1"/>
  <c r="O40" i="1" s="1"/>
  <c r="Q40" i="1" s="1"/>
  <c r="R40" i="1" s="1"/>
  <c r="S40" i="1" s="1"/>
  <c r="K30" i="1"/>
  <c r="L30" i="1"/>
  <c r="M30" i="1" s="1"/>
  <c r="N30" i="1" s="1"/>
  <c r="O30" i="1" s="1"/>
  <c r="Q30" i="1" s="1"/>
  <c r="R30" i="1" s="1"/>
  <c r="S30" i="1" s="1"/>
  <c r="K41" i="1"/>
  <c r="L41" i="1"/>
  <c r="M41" i="1" s="1"/>
  <c r="N41" i="1" s="1"/>
  <c r="O41" i="1" s="1"/>
  <c r="Q41" i="1" s="1"/>
  <c r="R41" i="1" s="1"/>
  <c r="S41" i="1" s="1"/>
  <c r="K19" i="1"/>
  <c r="L19" i="1"/>
  <c r="M19" i="1" s="1"/>
  <c r="N19" i="1" s="1"/>
  <c r="O19" i="1" s="1"/>
  <c r="Q19" i="1" s="1"/>
  <c r="R19" i="1" s="1"/>
  <c r="S19" i="1" s="1"/>
  <c r="K39" i="1"/>
  <c r="L39" i="1"/>
  <c r="M39" i="1" s="1"/>
  <c r="N39" i="1" s="1"/>
  <c r="O39" i="1" s="1"/>
  <c r="Q39" i="1" s="1"/>
  <c r="R39" i="1" s="1"/>
  <c r="S39" i="1" s="1"/>
  <c r="K29" i="1"/>
  <c r="L29" i="1"/>
  <c r="M29" i="1" s="1"/>
  <c r="N29" i="1" s="1"/>
  <c r="O29" i="1" s="1"/>
  <c r="Q29" i="1" s="1"/>
  <c r="R29" i="1" s="1"/>
  <c r="S29" i="1" s="1"/>
  <c r="K20" i="1"/>
  <c r="L20" i="1"/>
  <c r="M20" i="1" s="1"/>
  <c r="N20" i="1" s="1"/>
  <c r="O20" i="1" s="1"/>
  <c r="Q20" i="1" s="1"/>
  <c r="R20" i="1" s="1"/>
  <c r="S20" i="1" s="1"/>
  <c r="K43" i="1"/>
  <c r="L43" i="1"/>
  <c r="M43" i="1" s="1"/>
  <c r="N43" i="1" s="1"/>
  <c r="O43" i="1" s="1"/>
  <c r="Q43" i="1" s="1"/>
  <c r="R43" i="1" s="1"/>
  <c r="S43" i="1" s="1"/>
  <c r="K38" i="1"/>
  <c r="L38" i="1"/>
  <c r="M38" i="1" s="1"/>
  <c r="N38" i="1" s="1"/>
  <c r="O38" i="1" s="1"/>
  <c r="Q38" i="1" s="1"/>
  <c r="R38" i="1" s="1"/>
  <c r="S38" i="1" s="1"/>
  <c r="K18" i="1"/>
  <c r="L18" i="1"/>
  <c r="M18" i="1" s="1"/>
  <c r="N18" i="1" s="1"/>
  <c r="O18" i="1" s="1"/>
  <c r="Q18" i="1" s="1"/>
  <c r="R18" i="1" s="1"/>
  <c r="S18" i="1" s="1"/>
  <c r="H31" i="1"/>
  <c r="I31" i="1" s="1"/>
  <c r="J31" i="1" s="1"/>
  <c r="G27" i="1"/>
  <c r="F114" i="1"/>
  <c r="F192" i="1"/>
  <c r="F191" i="1"/>
  <c r="F190" i="1"/>
  <c r="F187" i="1"/>
  <c r="F185" i="1"/>
  <c r="F184" i="1"/>
  <c r="F182" i="1"/>
  <c r="F173" i="1"/>
  <c r="F172" i="1"/>
  <c r="F171" i="1"/>
  <c r="F170" i="1"/>
  <c r="F169" i="1"/>
  <c r="F166" i="1"/>
  <c r="F165" i="1"/>
  <c r="F164" i="1"/>
  <c r="F159" i="1"/>
  <c r="F158" i="1"/>
  <c r="F155" i="1"/>
  <c r="F153" i="1"/>
  <c r="P30" i="1" l="1"/>
  <c r="P18" i="1"/>
  <c r="P38" i="1"/>
  <c r="P39" i="1"/>
  <c r="P40" i="1"/>
  <c r="P41" i="1"/>
  <c r="P43" i="1"/>
  <c r="P19" i="1"/>
  <c r="P17" i="1"/>
  <c r="P20" i="1"/>
  <c r="P29" i="1"/>
  <c r="M71" i="1"/>
  <c r="N71" i="1" s="1"/>
  <c r="O71" i="1" s="1"/>
  <c r="Q71" i="1" s="1"/>
  <c r="R71" i="1" s="1"/>
  <c r="S71" i="1" s="1"/>
  <c r="K31" i="1"/>
  <c r="L31" i="1"/>
  <c r="M31" i="1" s="1"/>
  <c r="N31" i="1" s="1"/>
  <c r="O31" i="1" s="1"/>
  <c r="Q31" i="1" s="1"/>
  <c r="R31" i="1" s="1"/>
  <c r="S31" i="1" s="1"/>
  <c r="G164" i="1"/>
  <c r="H164" i="1" s="1"/>
  <c r="I164" i="1" s="1"/>
  <c r="J164" i="1" s="1"/>
  <c r="G170" i="1"/>
  <c r="H170" i="1" s="1"/>
  <c r="I170" i="1" s="1"/>
  <c r="J170" i="1" s="1"/>
  <c r="G190" i="1"/>
  <c r="H190" i="1" s="1"/>
  <c r="I190" i="1" s="1"/>
  <c r="J190" i="1" s="1"/>
  <c r="G165" i="1"/>
  <c r="H165" i="1" s="1"/>
  <c r="I165" i="1" s="1"/>
  <c r="J165" i="1" s="1"/>
  <c r="G184" i="1"/>
  <c r="H184" i="1" s="1"/>
  <c r="I184" i="1" s="1"/>
  <c r="J184" i="1" s="1"/>
  <c r="G159" i="1"/>
  <c r="H159" i="1" s="1"/>
  <c r="I159" i="1" s="1"/>
  <c r="J159" i="1" s="1"/>
  <c r="G172" i="1"/>
  <c r="H172" i="1" s="1"/>
  <c r="I172" i="1" s="1"/>
  <c r="J172" i="1" s="1"/>
  <c r="G185" i="1"/>
  <c r="H185" i="1" s="1"/>
  <c r="I185" i="1" s="1"/>
  <c r="J185" i="1" s="1"/>
  <c r="G192" i="1"/>
  <c r="H192" i="1" s="1"/>
  <c r="I192" i="1" s="1"/>
  <c r="J192" i="1" s="1"/>
  <c r="G155" i="1"/>
  <c r="H155" i="1" s="1"/>
  <c r="I155" i="1" s="1"/>
  <c r="J155" i="1" s="1"/>
  <c r="G182" i="1"/>
  <c r="H182" i="1" s="1"/>
  <c r="I182" i="1" s="1"/>
  <c r="J182" i="1" s="1"/>
  <c r="G158" i="1"/>
  <c r="H158" i="1" s="1"/>
  <c r="I158" i="1" s="1"/>
  <c r="J158" i="1" s="1"/>
  <c r="G171" i="1"/>
  <c r="H171" i="1" s="1"/>
  <c r="I171" i="1" s="1"/>
  <c r="J171" i="1" s="1"/>
  <c r="G191" i="1"/>
  <c r="H191" i="1" s="1"/>
  <c r="I191" i="1" s="1"/>
  <c r="J191" i="1" s="1"/>
  <c r="G166" i="1"/>
  <c r="H166" i="1" s="1"/>
  <c r="I166" i="1" s="1"/>
  <c r="J166" i="1" s="1"/>
  <c r="G153" i="1"/>
  <c r="H153" i="1" s="1"/>
  <c r="I153" i="1" s="1"/>
  <c r="J153" i="1" s="1"/>
  <c r="G169" i="1"/>
  <c r="H169" i="1" s="1"/>
  <c r="I169" i="1" s="1"/>
  <c r="J169" i="1" s="1"/>
  <c r="G173" i="1"/>
  <c r="H173" i="1" s="1"/>
  <c r="I173" i="1" s="1"/>
  <c r="J173" i="1" s="1"/>
  <c r="G187" i="1"/>
  <c r="H187" i="1" s="1"/>
  <c r="I187" i="1" s="1"/>
  <c r="J187" i="1" s="1"/>
  <c r="G114" i="1"/>
  <c r="H114" i="1" s="1"/>
  <c r="I114" i="1" s="1"/>
  <c r="J114" i="1" s="1"/>
  <c r="F364" i="1"/>
  <c r="F363" i="1"/>
  <c r="F357" i="1"/>
  <c r="G357" i="1" s="1"/>
  <c r="H357" i="1" s="1"/>
  <c r="I357" i="1" s="1"/>
  <c r="J357" i="1" s="1"/>
  <c r="F356" i="1"/>
  <c r="G356" i="1" s="1"/>
  <c r="H356" i="1" s="1"/>
  <c r="I356" i="1" s="1"/>
  <c r="J356" i="1" s="1"/>
  <c r="F354" i="1"/>
  <c r="F344" i="1"/>
  <c r="F343" i="1"/>
  <c r="F342" i="1"/>
  <c r="F341" i="1"/>
  <c r="F339" i="1"/>
  <c r="F338" i="1"/>
  <c r="F336" i="1"/>
  <c r="F335" i="1"/>
  <c r="F334" i="1"/>
  <c r="F58" i="1"/>
  <c r="F55" i="1"/>
  <c r="F53" i="1"/>
  <c r="F52" i="1"/>
  <c r="F49" i="1"/>
  <c r="F48" i="1"/>
  <c r="F45" i="1"/>
  <c r="G45" i="1" s="1"/>
  <c r="H45" i="1" s="1"/>
  <c r="I45" i="1" s="1"/>
  <c r="J45" i="1" s="1"/>
  <c r="F27" i="1"/>
  <c r="H27" i="1" s="1"/>
  <c r="I27" i="1" s="1"/>
  <c r="J27" i="1" s="1"/>
  <c r="F24" i="1"/>
  <c r="G24" i="1" s="1"/>
  <c r="H24" i="1" s="1"/>
  <c r="I24" i="1" s="1"/>
  <c r="J24" i="1" s="1"/>
  <c r="F22" i="1"/>
  <c r="G22" i="1" s="1"/>
  <c r="H22" i="1" s="1"/>
  <c r="I22" i="1" s="1"/>
  <c r="J22" i="1" s="1"/>
  <c r="F152" i="1"/>
  <c r="F151" i="1"/>
  <c r="F149" i="1"/>
  <c r="F148" i="1"/>
  <c r="F147" i="1"/>
  <c r="F146" i="1"/>
  <c r="F145" i="1"/>
  <c r="F143" i="1"/>
  <c r="F141" i="1"/>
  <c r="F132" i="1"/>
  <c r="F130" i="1"/>
  <c r="F128" i="1"/>
  <c r="F126" i="1"/>
  <c r="F123" i="1"/>
  <c r="F121" i="1"/>
  <c r="F120" i="1"/>
  <c r="F118" i="1"/>
  <c r="F96" i="1"/>
  <c r="F95" i="1"/>
  <c r="F94" i="1"/>
  <c r="F93" i="1"/>
  <c r="F92" i="1"/>
  <c r="F91" i="1"/>
  <c r="F90" i="1"/>
  <c r="F89" i="1"/>
  <c r="F88" i="1"/>
  <c r="F57" i="1"/>
  <c r="F86" i="1"/>
  <c r="F84" i="1"/>
  <c r="F83" i="1"/>
  <c r="F82" i="1"/>
  <c r="F81" i="1"/>
  <c r="F80" i="1"/>
  <c r="F79" i="1"/>
  <c r="F78" i="1"/>
  <c r="F77" i="1"/>
  <c r="P31" i="1" l="1"/>
  <c r="P71" i="1"/>
  <c r="K191" i="1"/>
  <c r="L191" i="1" s="1"/>
  <c r="M191" i="1" s="1"/>
  <c r="N191" i="1" s="1"/>
  <c r="O191" i="1" s="1"/>
  <c r="Q191" i="1" s="1"/>
  <c r="R191" i="1" s="1"/>
  <c r="S191" i="1" s="1"/>
  <c r="K159" i="1"/>
  <c r="L159" i="1" s="1"/>
  <c r="M159" i="1" s="1"/>
  <c r="N159" i="1" s="1"/>
  <c r="O159" i="1" s="1"/>
  <c r="Q159" i="1" s="1"/>
  <c r="R159" i="1" s="1"/>
  <c r="S159" i="1" s="1"/>
  <c r="K171" i="1"/>
  <c r="L171" i="1" s="1"/>
  <c r="M171" i="1" s="1"/>
  <c r="N171" i="1" s="1"/>
  <c r="O171" i="1" s="1"/>
  <c r="Q171" i="1" s="1"/>
  <c r="R171" i="1" s="1"/>
  <c r="S171" i="1" s="1"/>
  <c r="K22" i="1"/>
  <c r="L22" i="1"/>
  <c r="M22" i="1" s="1"/>
  <c r="N22" i="1" s="1"/>
  <c r="O22" i="1" s="1"/>
  <c r="Q22" i="1" s="1"/>
  <c r="R22" i="1" s="1"/>
  <c r="S22" i="1" s="1"/>
  <c r="K114" i="1"/>
  <c r="L114" i="1"/>
  <c r="M114" i="1" s="1"/>
  <c r="N114" i="1" s="1"/>
  <c r="O114" i="1" s="1"/>
  <c r="Q114" i="1" s="1"/>
  <c r="R114" i="1" s="1"/>
  <c r="S114" i="1" s="1"/>
  <c r="K158" i="1"/>
  <c r="L158" i="1" s="1"/>
  <c r="M158" i="1" s="1"/>
  <c r="N158" i="1" s="1"/>
  <c r="O158" i="1" s="1"/>
  <c r="Q158" i="1" s="1"/>
  <c r="R158" i="1" s="1"/>
  <c r="S158" i="1" s="1"/>
  <c r="K165" i="1"/>
  <c r="L165" i="1" s="1"/>
  <c r="M165" i="1" s="1"/>
  <c r="N165" i="1" s="1"/>
  <c r="O165" i="1" s="1"/>
  <c r="Q165" i="1" s="1"/>
  <c r="R165" i="1" s="1"/>
  <c r="S165" i="1" s="1"/>
  <c r="K24" i="1"/>
  <c r="L24" i="1"/>
  <c r="M24" i="1" s="1"/>
  <c r="N24" i="1" s="1"/>
  <c r="O24" i="1" s="1"/>
  <c r="Q24" i="1" s="1"/>
  <c r="R24" i="1" s="1"/>
  <c r="S24" i="1" s="1"/>
  <c r="K187" i="1"/>
  <c r="L187" i="1" s="1"/>
  <c r="M187" i="1" s="1"/>
  <c r="N187" i="1" s="1"/>
  <c r="O187" i="1" s="1"/>
  <c r="Q187" i="1" s="1"/>
  <c r="R187" i="1" s="1"/>
  <c r="S187" i="1" s="1"/>
  <c r="K182" i="1"/>
  <c r="L182" i="1" s="1"/>
  <c r="M182" i="1" s="1"/>
  <c r="N182" i="1" s="1"/>
  <c r="O182" i="1" s="1"/>
  <c r="Q182" i="1" s="1"/>
  <c r="R182" i="1" s="1"/>
  <c r="S182" i="1" s="1"/>
  <c r="K190" i="1"/>
  <c r="L190" i="1" s="1"/>
  <c r="M190" i="1" s="1"/>
  <c r="N190" i="1" s="1"/>
  <c r="O190" i="1" s="1"/>
  <c r="Q190" i="1" s="1"/>
  <c r="R190" i="1" s="1"/>
  <c r="S190" i="1" s="1"/>
  <c r="K27" i="1"/>
  <c r="L27" i="1"/>
  <c r="M27" i="1" s="1"/>
  <c r="N27" i="1" s="1"/>
  <c r="O27" i="1" s="1"/>
  <c r="Q27" i="1" s="1"/>
  <c r="R27" i="1" s="1"/>
  <c r="S27" i="1" s="1"/>
  <c r="K173" i="1"/>
  <c r="L173" i="1" s="1"/>
  <c r="M173" i="1" s="1"/>
  <c r="N173" i="1" s="1"/>
  <c r="O173" i="1" s="1"/>
  <c r="Q173" i="1" s="1"/>
  <c r="R173" i="1" s="1"/>
  <c r="S173" i="1" s="1"/>
  <c r="K155" i="1"/>
  <c r="L155" i="1" s="1"/>
  <c r="M155" i="1" s="1"/>
  <c r="N155" i="1" s="1"/>
  <c r="O155" i="1" s="1"/>
  <c r="Q155" i="1" s="1"/>
  <c r="R155" i="1" s="1"/>
  <c r="S155" i="1" s="1"/>
  <c r="K170" i="1"/>
  <c r="L170" i="1" s="1"/>
  <c r="M170" i="1" s="1"/>
  <c r="N170" i="1" s="1"/>
  <c r="O170" i="1" s="1"/>
  <c r="Q170" i="1" s="1"/>
  <c r="R170" i="1" s="1"/>
  <c r="S170" i="1" s="1"/>
  <c r="K45" i="1"/>
  <c r="L45" i="1"/>
  <c r="M45" i="1" s="1"/>
  <c r="N45" i="1" s="1"/>
  <c r="O45" i="1" s="1"/>
  <c r="Q45" i="1" s="1"/>
  <c r="R45" i="1" s="1"/>
  <c r="S45" i="1" s="1"/>
  <c r="K169" i="1"/>
  <c r="L169" i="1" s="1"/>
  <c r="M169" i="1" s="1"/>
  <c r="N169" i="1" s="1"/>
  <c r="O169" i="1" s="1"/>
  <c r="Q169" i="1" s="1"/>
  <c r="R169" i="1" s="1"/>
  <c r="S169" i="1" s="1"/>
  <c r="K192" i="1"/>
  <c r="L192" i="1" s="1"/>
  <c r="M192" i="1" s="1"/>
  <c r="N192" i="1" s="1"/>
  <c r="O192" i="1" s="1"/>
  <c r="Q192" i="1" s="1"/>
  <c r="R192" i="1" s="1"/>
  <c r="S192" i="1" s="1"/>
  <c r="K164" i="1"/>
  <c r="L164" i="1" s="1"/>
  <c r="M164" i="1" s="1"/>
  <c r="N164" i="1" s="1"/>
  <c r="O164" i="1" s="1"/>
  <c r="Q164" i="1" s="1"/>
  <c r="R164" i="1" s="1"/>
  <c r="S164" i="1" s="1"/>
  <c r="K356" i="1"/>
  <c r="L356" i="1" s="1"/>
  <c r="M356" i="1" s="1"/>
  <c r="N356" i="1" s="1"/>
  <c r="O356" i="1" s="1"/>
  <c r="Q356" i="1" s="1"/>
  <c r="R356" i="1" s="1"/>
  <c r="S356" i="1" s="1"/>
  <c r="K185" i="1"/>
  <c r="L185" i="1" s="1"/>
  <c r="M185" i="1" s="1"/>
  <c r="N185" i="1" s="1"/>
  <c r="O185" i="1" s="1"/>
  <c r="Q185" i="1" s="1"/>
  <c r="R185" i="1" s="1"/>
  <c r="S185" i="1" s="1"/>
  <c r="K184" i="1"/>
  <c r="L184" i="1" s="1"/>
  <c r="M184" i="1" s="1"/>
  <c r="N184" i="1" s="1"/>
  <c r="O184" i="1" s="1"/>
  <c r="Q184" i="1" s="1"/>
  <c r="R184" i="1" s="1"/>
  <c r="S184" i="1" s="1"/>
  <c r="K153" i="1"/>
  <c r="L153" i="1" s="1"/>
  <c r="M153" i="1" s="1"/>
  <c r="N153" i="1" s="1"/>
  <c r="O153" i="1" s="1"/>
  <c r="Q153" i="1" s="1"/>
  <c r="R153" i="1" s="1"/>
  <c r="S153" i="1" s="1"/>
  <c r="K357" i="1"/>
  <c r="L357" i="1" s="1"/>
  <c r="M357" i="1" s="1"/>
  <c r="N357" i="1" s="1"/>
  <c r="O357" i="1" s="1"/>
  <c r="Q357" i="1" s="1"/>
  <c r="R357" i="1" s="1"/>
  <c r="S357" i="1" s="1"/>
  <c r="K166" i="1"/>
  <c r="L166" i="1" s="1"/>
  <c r="M166" i="1" s="1"/>
  <c r="N166" i="1" s="1"/>
  <c r="O166" i="1" s="1"/>
  <c r="Q166" i="1" s="1"/>
  <c r="R166" i="1" s="1"/>
  <c r="S166" i="1" s="1"/>
  <c r="K172" i="1"/>
  <c r="L172" i="1" s="1"/>
  <c r="M172" i="1" s="1"/>
  <c r="N172" i="1" s="1"/>
  <c r="O172" i="1" s="1"/>
  <c r="Q172" i="1" s="1"/>
  <c r="R172" i="1" s="1"/>
  <c r="S172" i="1" s="1"/>
  <c r="G83" i="1"/>
  <c r="H83" i="1" s="1"/>
  <c r="I83" i="1" s="1"/>
  <c r="J83" i="1" s="1"/>
  <c r="G123" i="1"/>
  <c r="H123" i="1" s="1"/>
  <c r="I123" i="1" s="1"/>
  <c r="J123" i="1" s="1"/>
  <c r="G334" i="1"/>
  <c r="H334" i="1" s="1"/>
  <c r="J334" i="1" s="1"/>
  <c r="G344" i="1"/>
  <c r="H344" i="1" s="1"/>
  <c r="I344" i="1" s="1"/>
  <c r="K344" i="1" s="1"/>
  <c r="L344" i="1" s="1"/>
  <c r="M344" i="1" s="1"/>
  <c r="N344" i="1" s="1"/>
  <c r="O344" i="1" s="1"/>
  <c r="Q344" i="1" s="1"/>
  <c r="R344" i="1" s="1"/>
  <c r="S344" i="1" s="1"/>
  <c r="G84" i="1"/>
  <c r="H84" i="1" s="1"/>
  <c r="I84" i="1" s="1"/>
  <c r="J84" i="1" s="1"/>
  <c r="G89" i="1"/>
  <c r="H89" i="1" s="1"/>
  <c r="I89" i="1" s="1"/>
  <c r="J89" i="1" s="1"/>
  <c r="G118" i="1"/>
  <c r="H118" i="1" s="1"/>
  <c r="I118" i="1" s="1"/>
  <c r="J118" i="1" s="1"/>
  <c r="G141" i="1"/>
  <c r="H141" i="1" s="1"/>
  <c r="I141" i="1" s="1"/>
  <c r="J141" i="1" s="1"/>
  <c r="G147" i="1"/>
  <c r="H147" i="1" s="1"/>
  <c r="I147" i="1" s="1"/>
  <c r="J147" i="1" s="1"/>
  <c r="G152" i="1"/>
  <c r="H152" i="1" s="1"/>
  <c r="I152" i="1" s="1"/>
  <c r="J152" i="1" s="1"/>
  <c r="G53" i="1"/>
  <c r="H53" i="1" s="1"/>
  <c r="I53" i="1" s="1"/>
  <c r="J53" i="1" s="1"/>
  <c r="G335" i="1"/>
  <c r="G354" i="1"/>
  <c r="I354" i="1" s="1"/>
  <c r="J354" i="1" s="1"/>
  <c r="G81" i="1"/>
  <c r="H81" i="1" s="1"/>
  <c r="I81" i="1" s="1"/>
  <c r="J81" i="1" s="1"/>
  <c r="G90" i="1"/>
  <c r="H90" i="1" s="1"/>
  <c r="I90" i="1" s="1"/>
  <c r="J90" i="1" s="1"/>
  <c r="G94" i="1"/>
  <c r="H94" i="1" s="1"/>
  <c r="I94" i="1" s="1"/>
  <c r="J94" i="1" s="1"/>
  <c r="G120" i="1"/>
  <c r="H120" i="1" s="1"/>
  <c r="I120" i="1" s="1"/>
  <c r="J120" i="1" s="1"/>
  <c r="G128" i="1"/>
  <c r="H128" i="1" s="1"/>
  <c r="I128" i="1" s="1"/>
  <c r="J128" i="1" s="1"/>
  <c r="G143" i="1"/>
  <c r="H143" i="1" s="1"/>
  <c r="I143" i="1" s="1"/>
  <c r="J143" i="1" s="1"/>
  <c r="G148" i="1"/>
  <c r="H148" i="1" s="1"/>
  <c r="I148" i="1" s="1"/>
  <c r="J148" i="1" s="1"/>
  <c r="G48" i="1"/>
  <c r="H48" i="1" s="1"/>
  <c r="I48" i="1" s="1"/>
  <c r="J48" i="1" s="1"/>
  <c r="G55" i="1"/>
  <c r="H55" i="1" s="1"/>
  <c r="I55" i="1" s="1"/>
  <c r="J55" i="1" s="1"/>
  <c r="G342" i="1"/>
  <c r="H342" i="1" s="1"/>
  <c r="I342" i="1" s="1"/>
  <c r="K342" i="1" s="1"/>
  <c r="L342" i="1" s="1"/>
  <c r="M342" i="1" s="1"/>
  <c r="N342" i="1" s="1"/>
  <c r="O342" i="1" s="1"/>
  <c r="Q342" i="1" s="1"/>
  <c r="R342" i="1" s="1"/>
  <c r="S342" i="1" s="1"/>
  <c r="G79" i="1"/>
  <c r="H79" i="1" s="1"/>
  <c r="I79" i="1" s="1"/>
  <c r="J79" i="1" s="1"/>
  <c r="G88" i="1"/>
  <c r="H88" i="1" s="1"/>
  <c r="I88" i="1" s="1"/>
  <c r="J88" i="1" s="1"/>
  <c r="G92" i="1"/>
  <c r="H92" i="1" s="1"/>
  <c r="I92" i="1" s="1"/>
  <c r="J92" i="1" s="1"/>
  <c r="G96" i="1"/>
  <c r="H96" i="1" s="1"/>
  <c r="I96" i="1" s="1"/>
  <c r="J96" i="1" s="1"/>
  <c r="G132" i="1"/>
  <c r="H132" i="1" s="1"/>
  <c r="I132" i="1" s="1"/>
  <c r="J132" i="1" s="1"/>
  <c r="G146" i="1"/>
  <c r="H146" i="1" s="1"/>
  <c r="I146" i="1" s="1"/>
  <c r="J146" i="1" s="1"/>
  <c r="G151" i="1"/>
  <c r="H151" i="1" s="1"/>
  <c r="I151" i="1" s="1"/>
  <c r="J151" i="1" s="1"/>
  <c r="G52" i="1"/>
  <c r="H52" i="1" s="1"/>
  <c r="I52" i="1" s="1"/>
  <c r="J52" i="1" s="1"/>
  <c r="G339" i="1"/>
  <c r="H339" i="1" s="1"/>
  <c r="J339" i="1" s="1"/>
  <c r="G363" i="1"/>
  <c r="H363" i="1" s="1"/>
  <c r="I363" i="1" s="1"/>
  <c r="J363" i="1" s="1"/>
  <c r="G93" i="1"/>
  <c r="H93" i="1" s="1"/>
  <c r="I93" i="1" s="1"/>
  <c r="J93" i="1" s="1"/>
  <c r="G126" i="1"/>
  <c r="H126" i="1" s="1"/>
  <c r="I126" i="1" s="1"/>
  <c r="J126" i="1" s="1"/>
  <c r="G341" i="1"/>
  <c r="H341" i="1" s="1"/>
  <c r="I341" i="1" s="1"/>
  <c r="K341" i="1" s="1"/>
  <c r="L341" i="1" s="1"/>
  <c r="M341" i="1" s="1"/>
  <c r="N341" i="1" s="1"/>
  <c r="O341" i="1" s="1"/>
  <c r="Q341" i="1" s="1"/>
  <c r="R341" i="1" s="1"/>
  <c r="S341" i="1" s="1"/>
  <c r="G364" i="1"/>
  <c r="H364" i="1" s="1"/>
  <c r="I364" i="1" s="1"/>
  <c r="J364" i="1" s="1"/>
  <c r="G77" i="1"/>
  <c r="H77" i="1" s="1"/>
  <c r="I77" i="1" s="1"/>
  <c r="J77" i="1" s="1"/>
  <c r="G86" i="1"/>
  <c r="H86" i="1" s="1"/>
  <c r="I86" i="1" s="1"/>
  <c r="J86" i="1" s="1"/>
  <c r="G78" i="1"/>
  <c r="H78" i="1" s="1"/>
  <c r="I78" i="1" s="1"/>
  <c r="J78" i="1" s="1"/>
  <c r="G82" i="1"/>
  <c r="H82" i="1" s="1"/>
  <c r="I82" i="1" s="1"/>
  <c r="J82" i="1" s="1"/>
  <c r="G57" i="1"/>
  <c r="H57" i="1" s="1"/>
  <c r="I57" i="1" s="1"/>
  <c r="J57" i="1" s="1"/>
  <c r="G91" i="1"/>
  <c r="H91" i="1" s="1"/>
  <c r="I91" i="1" s="1"/>
  <c r="J91" i="1" s="1"/>
  <c r="G95" i="1"/>
  <c r="H95" i="1" s="1"/>
  <c r="I95" i="1" s="1"/>
  <c r="J95" i="1" s="1"/>
  <c r="G121" i="1"/>
  <c r="H121" i="1" s="1"/>
  <c r="I121" i="1" s="1"/>
  <c r="J121" i="1" s="1"/>
  <c r="G130" i="1"/>
  <c r="H130" i="1" s="1"/>
  <c r="I130" i="1" s="1"/>
  <c r="J130" i="1" s="1"/>
  <c r="G145" i="1"/>
  <c r="H145" i="1" s="1"/>
  <c r="I145" i="1" s="1"/>
  <c r="J145" i="1" s="1"/>
  <c r="G149" i="1"/>
  <c r="H149" i="1" s="1"/>
  <c r="I149" i="1" s="1"/>
  <c r="J149" i="1" s="1"/>
  <c r="G49" i="1"/>
  <c r="H49" i="1" s="1"/>
  <c r="I49" i="1" s="1"/>
  <c r="J49" i="1" s="1"/>
  <c r="G58" i="1"/>
  <c r="H58" i="1" s="1"/>
  <c r="I58" i="1" s="1"/>
  <c r="J58" i="1" s="1"/>
  <c r="G338" i="1"/>
  <c r="H338" i="1" s="1"/>
  <c r="J338" i="1" s="1"/>
  <c r="G343" i="1"/>
  <c r="H343" i="1" s="1"/>
  <c r="I343" i="1" s="1"/>
  <c r="K343" i="1" s="1"/>
  <c r="L343" i="1" s="1"/>
  <c r="M343" i="1" s="1"/>
  <c r="N343" i="1" s="1"/>
  <c r="O343" i="1" s="1"/>
  <c r="Q343" i="1" s="1"/>
  <c r="R343" i="1" s="1"/>
  <c r="S343" i="1" s="1"/>
  <c r="D16" i="8"/>
  <c r="D24" i="8" s="1"/>
  <c r="P343" i="1" l="1"/>
  <c r="P341" i="1"/>
  <c r="P344" i="1"/>
  <c r="P184" i="1"/>
  <c r="P170" i="1"/>
  <c r="P24" i="1"/>
  <c r="P171" i="1"/>
  <c r="P185" i="1"/>
  <c r="P155" i="1"/>
  <c r="P159" i="1"/>
  <c r="P153" i="1"/>
  <c r="P356" i="1"/>
  <c r="P173" i="1"/>
  <c r="P165" i="1"/>
  <c r="P191" i="1"/>
  <c r="P164" i="1"/>
  <c r="P27" i="1"/>
  <c r="P158" i="1"/>
  <c r="P172" i="1"/>
  <c r="P192" i="1"/>
  <c r="P114" i="1"/>
  <c r="P187" i="1"/>
  <c r="P342" i="1"/>
  <c r="P166" i="1"/>
  <c r="P169" i="1"/>
  <c r="P190" i="1"/>
  <c r="P357" i="1"/>
  <c r="P45" i="1"/>
  <c r="P182" i="1"/>
  <c r="P22" i="1"/>
  <c r="K143" i="1"/>
  <c r="L143" i="1" s="1"/>
  <c r="M143" i="1" s="1"/>
  <c r="N143" i="1" s="1"/>
  <c r="O143" i="1" s="1"/>
  <c r="Q143" i="1" s="1"/>
  <c r="R143" i="1" s="1"/>
  <c r="S143" i="1" s="1"/>
  <c r="I334" i="1"/>
  <c r="K334" i="1" s="1"/>
  <c r="L334" i="1" s="1"/>
  <c r="M334" i="1" s="1"/>
  <c r="N334" i="1" s="1"/>
  <c r="O334" i="1" s="1"/>
  <c r="Q334" i="1" s="1"/>
  <c r="R334" i="1" s="1"/>
  <c r="S334" i="1" s="1"/>
  <c r="K96" i="1"/>
  <c r="L96" i="1"/>
  <c r="M96" i="1" s="1"/>
  <c r="N96" i="1" s="1"/>
  <c r="O96" i="1" s="1"/>
  <c r="Q96" i="1" s="1"/>
  <c r="R96" i="1" s="1"/>
  <c r="S96" i="1" s="1"/>
  <c r="K92" i="1"/>
  <c r="L92" i="1"/>
  <c r="M92" i="1" s="1"/>
  <c r="N92" i="1" s="1"/>
  <c r="O92" i="1" s="1"/>
  <c r="Q92" i="1" s="1"/>
  <c r="R92" i="1" s="1"/>
  <c r="S92" i="1" s="1"/>
  <c r="K128" i="1"/>
  <c r="L128" i="1"/>
  <c r="M128" i="1" s="1"/>
  <c r="N128" i="1" s="1"/>
  <c r="O128" i="1" s="1"/>
  <c r="Q128" i="1" s="1"/>
  <c r="R128" i="1" s="1"/>
  <c r="S128" i="1" s="1"/>
  <c r="K152" i="1"/>
  <c r="L152" i="1" s="1"/>
  <c r="M152" i="1" s="1"/>
  <c r="N152" i="1" s="1"/>
  <c r="O152" i="1" s="1"/>
  <c r="Q152" i="1" s="1"/>
  <c r="R152" i="1" s="1"/>
  <c r="S152" i="1" s="1"/>
  <c r="K123" i="1"/>
  <c r="L123" i="1"/>
  <c r="M123" i="1" s="1"/>
  <c r="N123" i="1" s="1"/>
  <c r="O123" i="1" s="1"/>
  <c r="Q123" i="1" s="1"/>
  <c r="R123" i="1" s="1"/>
  <c r="S123" i="1" s="1"/>
  <c r="K58" i="1"/>
  <c r="L58" i="1"/>
  <c r="M58" i="1" s="1"/>
  <c r="N58" i="1" s="1"/>
  <c r="O58" i="1" s="1"/>
  <c r="Q58" i="1" s="1"/>
  <c r="R58" i="1" s="1"/>
  <c r="S58" i="1" s="1"/>
  <c r="K363" i="1"/>
  <c r="L363" i="1" s="1"/>
  <c r="M363" i="1" s="1"/>
  <c r="N363" i="1" s="1"/>
  <c r="O363" i="1" s="1"/>
  <c r="Q363" i="1" s="1"/>
  <c r="R363" i="1" s="1"/>
  <c r="S363" i="1" s="1"/>
  <c r="K88" i="1"/>
  <c r="L88" i="1"/>
  <c r="M88" i="1" s="1"/>
  <c r="N88" i="1" s="1"/>
  <c r="O88" i="1" s="1"/>
  <c r="Q88" i="1" s="1"/>
  <c r="R88" i="1" s="1"/>
  <c r="S88" i="1" s="1"/>
  <c r="K120" i="1"/>
  <c r="L120" i="1"/>
  <c r="M120" i="1" s="1"/>
  <c r="N120" i="1" s="1"/>
  <c r="O120" i="1" s="1"/>
  <c r="Q120" i="1" s="1"/>
  <c r="R120" i="1" s="1"/>
  <c r="S120" i="1" s="1"/>
  <c r="K147" i="1"/>
  <c r="L147" i="1" s="1"/>
  <c r="M147" i="1" s="1"/>
  <c r="N147" i="1" s="1"/>
  <c r="O147" i="1" s="1"/>
  <c r="Q147" i="1" s="1"/>
  <c r="R147" i="1" s="1"/>
  <c r="S147" i="1" s="1"/>
  <c r="K83" i="1"/>
  <c r="L83" i="1"/>
  <c r="M83" i="1" s="1"/>
  <c r="N83" i="1" s="1"/>
  <c r="O83" i="1" s="1"/>
  <c r="Q83" i="1" s="1"/>
  <c r="R83" i="1" s="1"/>
  <c r="S83" i="1" s="1"/>
  <c r="I338" i="1"/>
  <c r="K338" i="1" s="1"/>
  <c r="L338" i="1" s="1"/>
  <c r="M338" i="1" s="1"/>
  <c r="N338" i="1" s="1"/>
  <c r="O338" i="1" s="1"/>
  <c r="Q338" i="1" s="1"/>
  <c r="R338" i="1" s="1"/>
  <c r="S338" i="1" s="1"/>
  <c r="K82" i="1"/>
  <c r="L82" i="1"/>
  <c r="M82" i="1" s="1"/>
  <c r="N82" i="1" s="1"/>
  <c r="O82" i="1" s="1"/>
  <c r="Q82" i="1" s="1"/>
  <c r="R82" i="1" s="1"/>
  <c r="S82" i="1" s="1"/>
  <c r="K149" i="1"/>
  <c r="L149" i="1" s="1"/>
  <c r="M149" i="1" s="1"/>
  <c r="N149" i="1" s="1"/>
  <c r="O149" i="1" s="1"/>
  <c r="Q149" i="1" s="1"/>
  <c r="R149" i="1" s="1"/>
  <c r="S149" i="1" s="1"/>
  <c r="I339" i="1"/>
  <c r="K339" i="1" s="1"/>
  <c r="L339" i="1" s="1"/>
  <c r="M339" i="1" s="1"/>
  <c r="N339" i="1" s="1"/>
  <c r="O339" i="1" s="1"/>
  <c r="Q339" i="1" s="1"/>
  <c r="R339" i="1" s="1"/>
  <c r="S339" i="1" s="1"/>
  <c r="K79" i="1"/>
  <c r="L79" i="1"/>
  <c r="M79" i="1" s="1"/>
  <c r="N79" i="1" s="1"/>
  <c r="O79" i="1" s="1"/>
  <c r="Q79" i="1" s="1"/>
  <c r="R79" i="1" s="1"/>
  <c r="S79" i="1" s="1"/>
  <c r="K94" i="1"/>
  <c r="L94" i="1"/>
  <c r="M94" i="1" s="1"/>
  <c r="N94" i="1" s="1"/>
  <c r="O94" i="1" s="1"/>
  <c r="Q94" i="1" s="1"/>
  <c r="R94" i="1" s="1"/>
  <c r="S94" i="1" s="1"/>
  <c r="K141" i="1"/>
  <c r="L141" i="1" s="1"/>
  <c r="M141" i="1" s="1"/>
  <c r="N141" i="1" s="1"/>
  <c r="O141" i="1" s="1"/>
  <c r="Q141" i="1" s="1"/>
  <c r="R141" i="1" s="1"/>
  <c r="S141" i="1" s="1"/>
  <c r="K53" i="1"/>
  <c r="L53" i="1"/>
  <c r="M53" i="1" s="1"/>
  <c r="N53" i="1" s="1"/>
  <c r="O53" i="1" s="1"/>
  <c r="Q53" i="1" s="1"/>
  <c r="R53" i="1" s="1"/>
  <c r="S53" i="1" s="1"/>
  <c r="K90" i="1"/>
  <c r="L90" i="1"/>
  <c r="M90" i="1" s="1"/>
  <c r="N90" i="1" s="1"/>
  <c r="O90" i="1" s="1"/>
  <c r="Q90" i="1" s="1"/>
  <c r="R90" i="1" s="1"/>
  <c r="S90" i="1" s="1"/>
  <c r="K118" i="1"/>
  <c r="L118" i="1"/>
  <c r="M118" i="1" s="1"/>
  <c r="N118" i="1" s="1"/>
  <c r="O118" i="1" s="1"/>
  <c r="Q118" i="1" s="1"/>
  <c r="R118" i="1" s="1"/>
  <c r="S118" i="1" s="1"/>
  <c r="K93" i="1"/>
  <c r="L93" i="1"/>
  <c r="M93" i="1" s="1"/>
  <c r="N93" i="1" s="1"/>
  <c r="O93" i="1" s="1"/>
  <c r="Q93" i="1" s="1"/>
  <c r="R93" i="1" s="1"/>
  <c r="S93" i="1" s="1"/>
  <c r="K78" i="1"/>
  <c r="L78" i="1"/>
  <c r="M78" i="1" s="1"/>
  <c r="N78" i="1" s="1"/>
  <c r="O78" i="1" s="1"/>
  <c r="Q78" i="1" s="1"/>
  <c r="R78" i="1" s="1"/>
  <c r="S78" i="1" s="1"/>
  <c r="K130" i="1"/>
  <c r="L130" i="1"/>
  <c r="M130" i="1" s="1"/>
  <c r="N130" i="1" s="1"/>
  <c r="O130" i="1" s="1"/>
  <c r="Q130" i="1" s="1"/>
  <c r="R130" i="1" s="1"/>
  <c r="S130" i="1" s="1"/>
  <c r="K151" i="1"/>
  <c r="L151" i="1" s="1"/>
  <c r="M151" i="1" s="1"/>
  <c r="N151" i="1" s="1"/>
  <c r="O151" i="1" s="1"/>
  <c r="Q151" i="1" s="1"/>
  <c r="R151" i="1" s="1"/>
  <c r="S151" i="1" s="1"/>
  <c r="K55" i="1"/>
  <c r="L55" i="1"/>
  <c r="M55" i="1" s="1"/>
  <c r="N55" i="1" s="1"/>
  <c r="O55" i="1" s="1"/>
  <c r="Q55" i="1" s="1"/>
  <c r="R55" i="1" s="1"/>
  <c r="S55" i="1" s="1"/>
  <c r="K81" i="1"/>
  <c r="L81" i="1"/>
  <c r="M81" i="1" s="1"/>
  <c r="N81" i="1" s="1"/>
  <c r="O81" i="1" s="1"/>
  <c r="Q81" i="1" s="1"/>
  <c r="R81" i="1" s="1"/>
  <c r="S81" i="1" s="1"/>
  <c r="K89" i="1"/>
  <c r="L89" i="1"/>
  <c r="M89" i="1" s="1"/>
  <c r="N89" i="1" s="1"/>
  <c r="O89" i="1" s="1"/>
  <c r="Q89" i="1" s="1"/>
  <c r="R89" i="1" s="1"/>
  <c r="S89" i="1" s="1"/>
  <c r="K126" i="1"/>
  <c r="L126" i="1"/>
  <c r="M126" i="1" s="1"/>
  <c r="N126" i="1" s="1"/>
  <c r="O126" i="1" s="1"/>
  <c r="Q126" i="1" s="1"/>
  <c r="R126" i="1" s="1"/>
  <c r="S126" i="1" s="1"/>
  <c r="K49" i="1"/>
  <c r="L49" i="1"/>
  <c r="M49" i="1" s="1"/>
  <c r="N49" i="1" s="1"/>
  <c r="O49" i="1" s="1"/>
  <c r="Q49" i="1" s="1"/>
  <c r="R49" i="1" s="1"/>
  <c r="S49" i="1" s="1"/>
  <c r="K145" i="1"/>
  <c r="L145" i="1" s="1"/>
  <c r="M145" i="1" s="1"/>
  <c r="N145" i="1" s="1"/>
  <c r="O145" i="1" s="1"/>
  <c r="Q145" i="1" s="1"/>
  <c r="R145" i="1" s="1"/>
  <c r="S145" i="1" s="1"/>
  <c r="K52" i="1"/>
  <c r="L52" i="1"/>
  <c r="M52" i="1" s="1"/>
  <c r="N52" i="1" s="1"/>
  <c r="O52" i="1" s="1"/>
  <c r="Q52" i="1" s="1"/>
  <c r="R52" i="1" s="1"/>
  <c r="S52" i="1" s="1"/>
  <c r="K77" i="1"/>
  <c r="L77" i="1"/>
  <c r="M77" i="1" s="1"/>
  <c r="N77" i="1" s="1"/>
  <c r="O77" i="1" s="1"/>
  <c r="Q77" i="1" s="1"/>
  <c r="R77" i="1" s="1"/>
  <c r="S77" i="1" s="1"/>
  <c r="K121" i="1"/>
  <c r="L121" i="1"/>
  <c r="M121" i="1" s="1"/>
  <c r="N121" i="1" s="1"/>
  <c r="O121" i="1" s="1"/>
  <c r="Q121" i="1" s="1"/>
  <c r="R121" i="1" s="1"/>
  <c r="S121" i="1" s="1"/>
  <c r="K364" i="1"/>
  <c r="L364" i="1" s="1"/>
  <c r="M364" i="1" s="1"/>
  <c r="N364" i="1" s="1"/>
  <c r="O364" i="1" s="1"/>
  <c r="Q364" i="1" s="1"/>
  <c r="R364" i="1" s="1"/>
  <c r="S364" i="1" s="1"/>
  <c r="K146" i="1"/>
  <c r="L146" i="1" s="1"/>
  <c r="M146" i="1" s="1"/>
  <c r="N146" i="1" s="1"/>
  <c r="O146" i="1" s="1"/>
  <c r="Q146" i="1" s="1"/>
  <c r="R146" i="1" s="1"/>
  <c r="S146" i="1" s="1"/>
  <c r="K48" i="1"/>
  <c r="L48" i="1"/>
  <c r="M48" i="1" s="1"/>
  <c r="N48" i="1" s="1"/>
  <c r="O48" i="1" s="1"/>
  <c r="Q48" i="1" s="1"/>
  <c r="R48" i="1" s="1"/>
  <c r="S48" i="1" s="1"/>
  <c r="K354" i="1"/>
  <c r="L354" i="1" s="1"/>
  <c r="M354" i="1" s="1"/>
  <c r="N354" i="1" s="1"/>
  <c r="O354" i="1" s="1"/>
  <c r="Q354" i="1" s="1"/>
  <c r="R354" i="1" s="1"/>
  <c r="S354" i="1" s="1"/>
  <c r="K84" i="1"/>
  <c r="L84" i="1"/>
  <c r="M84" i="1" s="1"/>
  <c r="N84" i="1" s="1"/>
  <c r="O84" i="1" s="1"/>
  <c r="Q84" i="1" s="1"/>
  <c r="R84" i="1" s="1"/>
  <c r="S84" i="1" s="1"/>
  <c r="K91" i="1"/>
  <c r="L91" i="1"/>
  <c r="M91" i="1" s="1"/>
  <c r="N91" i="1" s="1"/>
  <c r="O91" i="1" s="1"/>
  <c r="Q91" i="1" s="1"/>
  <c r="R91" i="1" s="1"/>
  <c r="S91" i="1" s="1"/>
  <c r="K57" i="1"/>
  <c r="L57" i="1"/>
  <c r="M57" i="1" s="1"/>
  <c r="N57" i="1" s="1"/>
  <c r="O57" i="1" s="1"/>
  <c r="Q57" i="1" s="1"/>
  <c r="R57" i="1" s="1"/>
  <c r="S57" i="1" s="1"/>
  <c r="K86" i="1"/>
  <c r="L86" i="1"/>
  <c r="M86" i="1" s="1"/>
  <c r="N86" i="1" s="1"/>
  <c r="O86" i="1" s="1"/>
  <c r="Q86" i="1" s="1"/>
  <c r="R86" i="1" s="1"/>
  <c r="S86" i="1" s="1"/>
  <c r="K95" i="1"/>
  <c r="L95" i="1"/>
  <c r="M95" i="1" s="1"/>
  <c r="N95" i="1" s="1"/>
  <c r="O95" i="1" s="1"/>
  <c r="Q95" i="1" s="1"/>
  <c r="R95" i="1" s="1"/>
  <c r="S95" i="1" s="1"/>
  <c r="K132" i="1"/>
  <c r="L132" i="1"/>
  <c r="M132" i="1" s="1"/>
  <c r="N132" i="1" s="1"/>
  <c r="O132" i="1" s="1"/>
  <c r="Q132" i="1" s="1"/>
  <c r="R132" i="1" s="1"/>
  <c r="S132" i="1" s="1"/>
  <c r="K148" i="1"/>
  <c r="L148" i="1" s="1"/>
  <c r="M148" i="1" s="1"/>
  <c r="N148" i="1" s="1"/>
  <c r="O148" i="1" s="1"/>
  <c r="Q148" i="1" s="1"/>
  <c r="R148" i="1" s="1"/>
  <c r="S148" i="1" s="1"/>
  <c r="G336" i="1"/>
  <c r="G337" i="1" s="1"/>
  <c r="H337" i="1" s="1"/>
  <c r="J337" i="1" s="1"/>
  <c r="H335" i="1"/>
  <c r="J335" i="1" s="1"/>
  <c r="D34" i="8"/>
  <c r="P121" i="1" l="1"/>
  <c r="P151" i="1"/>
  <c r="P79" i="1"/>
  <c r="P96" i="1"/>
  <c r="P77" i="1"/>
  <c r="P130" i="1"/>
  <c r="P90" i="1"/>
  <c r="P147" i="1"/>
  <c r="P123" i="1"/>
  <c r="P126" i="1"/>
  <c r="P89" i="1"/>
  <c r="P120" i="1"/>
  <c r="P48" i="1"/>
  <c r="P78" i="1"/>
  <c r="P53" i="1"/>
  <c r="P149" i="1"/>
  <c r="P152" i="1"/>
  <c r="P143" i="1"/>
  <c r="P95" i="1"/>
  <c r="P354" i="1"/>
  <c r="P334" i="1"/>
  <c r="P57" i="1"/>
  <c r="P81" i="1"/>
  <c r="P82" i="1"/>
  <c r="P88" i="1"/>
  <c r="P128" i="1"/>
  <c r="P84" i="1"/>
  <c r="P339" i="1"/>
  <c r="P52" i="1"/>
  <c r="P148" i="1"/>
  <c r="P146" i="1"/>
  <c r="P145" i="1"/>
  <c r="P93" i="1"/>
  <c r="P141" i="1"/>
  <c r="P86" i="1"/>
  <c r="P132" i="1"/>
  <c r="P91" i="1"/>
  <c r="P364" i="1"/>
  <c r="P49" i="1"/>
  <c r="P55" i="1"/>
  <c r="P94" i="1"/>
  <c r="P338" i="1"/>
  <c r="P363" i="1"/>
  <c r="P92" i="1"/>
  <c r="P118" i="1"/>
  <c r="P83" i="1"/>
  <c r="P58" i="1"/>
  <c r="I337" i="1"/>
  <c r="K337" i="1" s="1"/>
  <c r="L337" i="1" s="1"/>
  <c r="M337" i="1" s="1"/>
  <c r="N337" i="1" s="1"/>
  <c r="O337" i="1" s="1"/>
  <c r="Q337" i="1" s="1"/>
  <c r="R337" i="1" s="1"/>
  <c r="S337" i="1" s="1"/>
  <c r="I335" i="1"/>
  <c r="K335" i="1" s="1"/>
  <c r="L335" i="1" s="1"/>
  <c r="M335" i="1" s="1"/>
  <c r="N335" i="1" s="1"/>
  <c r="O335" i="1" s="1"/>
  <c r="Q335" i="1" s="1"/>
  <c r="R335" i="1" s="1"/>
  <c r="S335" i="1" s="1"/>
  <c r="H336" i="1"/>
  <c r="J336" i="1" s="1"/>
  <c r="P337" i="1" l="1"/>
  <c r="P335" i="1"/>
  <c r="I336" i="1"/>
  <c r="K336" i="1" s="1"/>
  <c r="L336" i="1" s="1"/>
  <c r="M336" i="1" s="1"/>
  <c r="N336" i="1" s="1"/>
  <c r="O336" i="1" s="1"/>
  <c r="Q336" i="1" s="1"/>
  <c r="R336" i="1" s="1"/>
  <c r="S336" i="1" s="1"/>
  <c r="P336" i="1" l="1"/>
  <c r="F11" i="1"/>
  <c r="J89" i="2"/>
  <c r="H90" i="2"/>
  <c r="F12" i="1" l="1"/>
  <c r="G11" i="1"/>
  <c r="I11" i="1" l="1"/>
  <c r="J11" i="1" s="1"/>
  <c r="G12" i="1"/>
  <c r="I12" i="1" s="1"/>
  <c r="J12" i="1" s="1"/>
  <c r="I76" i="2"/>
  <c r="K12" i="1" l="1"/>
  <c r="L12" i="1"/>
  <c r="M12" i="1" s="1"/>
  <c r="N12" i="1" s="1"/>
  <c r="O12" i="1" s="1"/>
  <c r="Q12" i="1" s="1"/>
  <c r="R12" i="1" s="1"/>
  <c r="S12" i="1" s="1"/>
  <c r="L11" i="1"/>
  <c r="M11" i="1" s="1"/>
  <c r="N11" i="1" s="1"/>
  <c r="O11" i="1" s="1"/>
  <c r="Q11" i="1" s="1"/>
  <c r="R11" i="1" s="1"/>
  <c r="S11" i="1" s="1"/>
  <c r="K11" i="1"/>
  <c r="F33" i="1"/>
  <c r="G40" i="2"/>
  <c r="D70" i="2"/>
  <c r="D71" i="2" s="1"/>
  <c r="E70" i="2"/>
  <c r="E71" i="2" s="1"/>
  <c r="H273" i="6"/>
  <c r="B71" i="2"/>
  <c r="B70" i="2"/>
  <c r="B69" i="2"/>
  <c r="P11" i="1" l="1"/>
  <c r="P12" i="1"/>
  <c r="D72" i="2"/>
  <c r="G60" i="2"/>
  <c r="E60" i="2" s="1"/>
  <c r="D60" i="2" s="1"/>
  <c r="G58" i="2"/>
  <c r="E58" i="2" s="1"/>
  <c r="D58" i="2" s="1"/>
  <c r="G59" i="2"/>
  <c r="E59" i="2" s="1"/>
  <c r="D59" i="2" s="1"/>
  <c r="G57" i="2"/>
  <c r="E57" i="2" s="1"/>
  <c r="D57" i="2" s="1"/>
  <c r="N20" i="4"/>
  <c r="N22" i="4"/>
  <c r="N14" i="4"/>
  <c r="N16" i="4"/>
  <c r="M13" i="4"/>
  <c r="N13" i="4" s="1"/>
  <c r="M15" i="4"/>
  <c r="N15" i="4" s="1"/>
  <c r="M17" i="4"/>
  <c r="N17" i="4" s="1"/>
  <c r="M18" i="4"/>
  <c r="N18" i="4" s="1"/>
  <c r="M19" i="4"/>
  <c r="N19" i="4" s="1"/>
  <c r="M21" i="4"/>
  <c r="N21" i="4" s="1"/>
  <c r="M23" i="4"/>
  <c r="N23" i="4" s="1"/>
  <c r="M24" i="4"/>
  <c r="N24" i="4" s="1"/>
  <c r="M11" i="4"/>
  <c r="N11" i="4" s="1"/>
  <c r="M10" i="4"/>
  <c r="N10" i="4" s="1"/>
  <c r="M12" i="4"/>
  <c r="N12" i="4" s="1"/>
  <c r="M9" i="4"/>
  <c r="N9" i="4" s="1"/>
  <c r="E32" i="2"/>
  <c r="D32" i="2" s="1"/>
  <c r="E33" i="2"/>
  <c r="D33" i="2" s="1"/>
  <c r="E51" i="2"/>
  <c r="D51" i="2" s="1"/>
  <c r="E53" i="2"/>
  <c r="D53" i="2" s="1"/>
  <c r="E54" i="2"/>
  <c r="D54" i="2" s="1"/>
  <c r="H371" i="6"/>
  <c r="H370" i="6"/>
  <c r="H369" i="6"/>
  <c r="H367" i="6"/>
  <c r="H366" i="6"/>
  <c r="H365" i="6"/>
  <c r="H361" i="6"/>
  <c r="H360" i="6"/>
  <c r="H359" i="6"/>
  <c r="H358" i="6"/>
  <c r="H357" i="6"/>
  <c r="H356" i="6"/>
  <c r="H355" i="6"/>
  <c r="H354" i="6"/>
  <c r="H353" i="6"/>
  <c r="H352" i="6"/>
  <c r="H351" i="6"/>
  <c r="H350" i="6"/>
  <c r="H349" i="6"/>
  <c r="H348" i="6"/>
  <c r="H347" i="6"/>
  <c r="H346" i="6"/>
  <c r="H345" i="6"/>
  <c r="H344" i="6"/>
  <c r="H343" i="6"/>
  <c r="H342" i="6"/>
  <c r="H341" i="6"/>
  <c r="K269" i="6"/>
  <c r="K270" i="6" s="1"/>
  <c r="H390" i="6"/>
  <c r="I390" i="6" s="1"/>
  <c r="J390" i="6" s="1"/>
  <c r="K390" i="6" s="1"/>
  <c r="H389" i="6"/>
  <c r="I389" i="6" s="1"/>
  <c r="J389" i="6" s="1"/>
  <c r="K389" i="6" s="1"/>
  <c r="H388" i="6"/>
  <c r="I388" i="6" s="1"/>
  <c r="J388" i="6" s="1"/>
  <c r="K388" i="6" s="1"/>
  <c r="H387" i="6"/>
  <c r="I387" i="6" s="1"/>
  <c r="J387" i="6" s="1"/>
  <c r="K387" i="6" s="1"/>
  <c r="H386" i="6"/>
  <c r="I386" i="6" s="1"/>
  <c r="J386" i="6" s="1"/>
  <c r="K386" i="6" s="1"/>
  <c r="G324" i="6"/>
  <c r="H324" i="6" s="1"/>
  <c r="I324" i="6" s="1"/>
  <c r="J324" i="6" s="1"/>
  <c r="K324" i="6" s="1"/>
  <c r="G322" i="6"/>
  <c r="H322" i="6" s="1"/>
  <c r="I322" i="6" s="1"/>
  <c r="J322" i="6" s="1"/>
  <c r="K322" i="6" s="1"/>
  <c r="G320" i="6"/>
  <c r="H320" i="6" s="1"/>
  <c r="I320" i="6" s="1"/>
  <c r="J320" i="6" s="1"/>
  <c r="K320" i="6" s="1"/>
  <c r="G319" i="6"/>
  <c r="H319" i="6" s="1"/>
  <c r="I319" i="6" s="1"/>
  <c r="J319" i="6" s="1"/>
  <c r="K319" i="6" s="1"/>
  <c r="G314" i="6"/>
  <c r="H314" i="6" s="1"/>
  <c r="I314" i="6" s="1"/>
  <c r="J314" i="6" s="1"/>
  <c r="K314" i="6" s="1"/>
  <c r="G311" i="6"/>
  <c r="H311" i="6" s="1"/>
  <c r="I311" i="6" s="1"/>
  <c r="J311" i="6" s="1"/>
  <c r="K311" i="6" s="1"/>
  <c r="G302" i="6"/>
  <c r="H302" i="6" s="1"/>
  <c r="I302" i="6" s="1"/>
  <c r="J302" i="6" s="1"/>
  <c r="K302" i="6" s="1"/>
  <c r="G300" i="6"/>
  <c r="H300" i="6" s="1"/>
  <c r="I300" i="6" s="1"/>
  <c r="J300" i="6" s="1"/>
  <c r="K300" i="6" s="1"/>
  <c r="G298" i="6"/>
  <c r="H298" i="6" s="1"/>
  <c r="I298" i="6" s="1"/>
  <c r="J298" i="6" s="1"/>
  <c r="K298" i="6" s="1"/>
  <c r="G297" i="6"/>
  <c r="H297" i="6" s="1"/>
  <c r="I297" i="6" s="1"/>
  <c r="J297" i="6" s="1"/>
  <c r="K297" i="6" s="1"/>
  <c r="G296" i="6"/>
  <c r="H296" i="6" s="1"/>
  <c r="I296" i="6" s="1"/>
  <c r="J296" i="6" s="1"/>
  <c r="K296" i="6" s="1"/>
  <c r="G295" i="6"/>
  <c r="H295" i="6" s="1"/>
  <c r="I295" i="6" s="1"/>
  <c r="J295" i="6" s="1"/>
  <c r="K295" i="6" s="1"/>
  <c r="G293" i="6"/>
  <c r="H293" i="6" s="1"/>
  <c r="I293" i="6" s="1"/>
  <c r="J293" i="6" s="1"/>
  <c r="K293" i="6" s="1"/>
  <c r="G291" i="6"/>
  <c r="H291" i="6" s="1"/>
  <c r="I291" i="6" s="1"/>
  <c r="J291" i="6" s="1"/>
  <c r="K291" i="6" s="1"/>
  <c r="G290" i="6"/>
  <c r="H290" i="6" s="1"/>
  <c r="I290" i="6" s="1"/>
  <c r="J290" i="6" s="1"/>
  <c r="K290" i="6" s="1"/>
  <c r="F289" i="6"/>
  <c r="G289" i="6" s="1"/>
  <c r="H289" i="6" s="1"/>
  <c r="I289" i="6" s="1"/>
  <c r="J289" i="6" s="1"/>
  <c r="K289" i="6" s="1"/>
  <c r="G286" i="6"/>
  <c r="H286" i="6" s="1"/>
  <c r="I286" i="6" s="1"/>
  <c r="J286" i="6" s="1"/>
  <c r="K286" i="6" s="1"/>
  <c r="G283" i="6"/>
  <c r="H283" i="6" s="1"/>
  <c r="I283" i="6" s="1"/>
  <c r="J283" i="6" s="1"/>
  <c r="K283" i="6" s="1"/>
  <c r="G279" i="6"/>
  <c r="H279" i="6" s="1"/>
  <c r="I279" i="6" s="1"/>
  <c r="J279" i="6" s="1"/>
  <c r="K279" i="6" s="1"/>
  <c r="G276" i="6"/>
  <c r="H276" i="6" s="1"/>
  <c r="I276" i="6" s="1"/>
  <c r="J276" i="6" s="1"/>
  <c r="K276" i="6" s="1"/>
  <c r="G275" i="6"/>
  <c r="H275" i="6" s="1"/>
  <c r="I275" i="6" s="1"/>
  <c r="J275" i="6" s="1"/>
  <c r="K275" i="6" s="1"/>
  <c r="G274" i="6"/>
  <c r="H274" i="6" s="1"/>
  <c r="I274" i="6" s="1"/>
  <c r="J274" i="6" s="1"/>
  <c r="K274" i="6" s="1"/>
  <c r="J270" i="6"/>
  <c r="I270" i="6"/>
  <c r="H270" i="6"/>
  <c r="G270" i="6"/>
  <c r="F270" i="6"/>
  <c r="H247" i="6"/>
  <c r="I247" i="6" s="1"/>
  <c r="J247" i="6" s="1"/>
  <c r="K247" i="6" s="1"/>
  <c r="H245" i="6"/>
  <c r="I245" i="6" s="1"/>
  <c r="J245" i="6" s="1"/>
  <c r="K245" i="6" s="1"/>
  <c r="H243" i="6"/>
  <c r="I243" i="6" s="1"/>
  <c r="J243" i="6" s="1"/>
  <c r="K243" i="6" s="1"/>
  <c r="H242" i="6"/>
  <c r="I242" i="6" s="1"/>
  <c r="J242" i="6" s="1"/>
  <c r="K242" i="6" s="1"/>
  <c r="H237" i="6"/>
  <c r="I237" i="6" s="1"/>
  <c r="J237" i="6" s="1"/>
  <c r="K237" i="6" s="1"/>
  <c r="H234" i="6"/>
  <c r="I234" i="6" s="1"/>
  <c r="J234" i="6" s="1"/>
  <c r="K234" i="6" s="1"/>
  <c r="H225" i="6"/>
  <c r="I225" i="6" s="1"/>
  <c r="J225" i="6" s="1"/>
  <c r="K225" i="6" s="1"/>
  <c r="H223" i="6"/>
  <c r="I223" i="6" s="1"/>
  <c r="J223" i="6" s="1"/>
  <c r="K223" i="6" s="1"/>
  <c r="H221" i="6"/>
  <c r="I221" i="6" s="1"/>
  <c r="J221" i="6" s="1"/>
  <c r="K221" i="6" s="1"/>
  <c r="H220" i="6"/>
  <c r="I220" i="6" s="1"/>
  <c r="J220" i="6" s="1"/>
  <c r="K220" i="6" s="1"/>
  <c r="H219" i="6"/>
  <c r="I219" i="6" s="1"/>
  <c r="J219" i="6" s="1"/>
  <c r="K219" i="6" s="1"/>
  <c r="H218" i="6"/>
  <c r="I218" i="6" s="1"/>
  <c r="J218" i="6" s="1"/>
  <c r="K218" i="6" s="1"/>
  <c r="H216" i="6"/>
  <c r="I216" i="6" s="1"/>
  <c r="J216" i="6" s="1"/>
  <c r="K216" i="6" s="1"/>
  <c r="H213" i="6"/>
  <c r="I213" i="6" s="1"/>
  <c r="J213" i="6" s="1"/>
  <c r="K213" i="6" s="1"/>
  <c r="H212" i="6"/>
  <c r="I212" i="6" s="1"/>
  <c r="J212" i="6" s="1"/>
  <c r="K212" i="6" s="1"/>
  <c r="H209" i="6"/>
  <c r="I209" i="6" s="1"/>
  <c r="J209" i="6" s="1"/>
  <c r="K209" i="6" s="1"/>
  <c r="H206" i="6"/>
  <c r="I206" i="6" s="1"/>
  <c r="J206" i="6" s="1"/>
  <c r="K206" i="6" s="1"/>
  <c r="H202" i="6"/>
  <c r="I202" i="6" s="1"/>
  <c r="J202" i="6" s="1"/>
  <c r="K202" i="6" s="1"/>
  <c r="H199" i="6"/>
  <c r="I199" i="6" s="1"/>
  <c r="J199" i="6" s="1"/>
  <c r="K199" i="6" s="1"/>
  <c r="H198" i="6"/>
  <c r="I198" i="6" s="1"/>
  <c r="J198" i="6" s="1"/>
  <c r="K198" i="6" s="1"/>
  <c r="H197" i="6"/>
  <c r="I197" i="6" s="1"/>
  <c r="J197" i="6" s="1"/>
  <c r="K197" i="6" s="1"/>
  <c r="H196" i="6"/>
  <c r="I196" i="6" s="1"/>
  <c r="J196" i="6" s="1"/>
  <c r="K196" i="6" s="1"/>
  <c r="G192" i="6"/>
  <c r="F192" i="6"/>
  <c r="H191" i="6"/>
  <c r="H192" i="6" s="1"/>
  <c r="H116" i="6"/>
  <c r="I116" i="6" s="1"/>
  <c r="J116" i="6" s="1"/>
  <c r="K116" i="6" s="1"/>
  <c r="H115" i="6"/>
  <c r="I115" i="6" s="1"/>
  <c r="J115" i="6" s="1"/>
  <c r="K115" i="6" s="1"/>
  <c r="H114" i="6"/>
  <c r="I114" i="6" s="1"/>
  <c r="J114" i="6" s="1"/>
  <c r="K114" i="6" s="1"/>
  <c r="H113" i="6"/>
  <c r="I113" i="6" s="1"/>
  <c r="J113" i="6" s="1"/>
  <c r="K113" i="6" s="1"/>
  <c r="H111" i="6"/>
  <c r="I111" i="6" s="1"/>
  <c r="J111" i="6" s="1"/>
  <c r="K111" i="6" s="1"/>
  <c r="H109" i="6"/>
  <c r="I109" i="6" s="1"/>
  <c r="J109" i="6" s="1"/>
  <c r="K109" i="6" s="1"/>
  <c r="H108" i="6"/>
  <c r="I108" i="6" s="1"/>
  <c r="J108" i="6" s="1"/>
  <c r="K108" i="6" s="1"/>
  <c r="H107" i="6"/>
  <c r="I107" i="6" s="1"/>
  <c r="J107" i="6" s="1"/>
  <c r="K107" i="6" s="1"/>
  <c r="H102" i="6"/>
  <c r="I102" i="6" s="1"/>
  <c r="J102" i="6" s="1"/>
  <c r="K102" i="6" s="1"/>
  <c r="H101" i="6"/>
  <c r="I101" i="6" s="1"/>
  <c r="J101" i="6" s="1"/>
  <c r="K101" i="6" s="1"/>
  <c r="H100" i="6"/>
  <c r="I100" i="6" s="1"/>
  <c r="J100" i="6" s="1"/>
  <c r="K100" i="6" s="1"/>
  <c r="H99" i="6"/>
  <c r="I99" i="6" s="1"/>
  <c r="J99" i="6" s="1"/>
  <c r="K99" i="6" s="1"/>
  <c r="G97" i="6"/>
  <c r="F97" i="6"/>
  <c r="H96" i="6"/>
  <c r="H97" i="6" s="1"/>
  <c r="H86" i="6"/>
  <c r="H84" i="6"/>
  <c r="H82" i="6"/>
  <c r="H80" i="6"/>
  <c r="H77" i="6"/>
  <c r="H75" i="6"/>
  <c r="H74" i="6"/>
  <c r="H72" i="6"/>
  <c r="H68" i="6"/>
  <c r="H60" i="6"/>
  <c r="H59" i="6"/>
  <c r="H58" i="6"/>
  <c r="H56" i="6"/>
  <c r="H55" i="6"/>
  <c r="H54" i="6"/>
  <c r="H50" i="6"/>
  <c r="H49" i="6"/>
  <c r="H48" i="6"/>
  <c r="H47" i="6"/>
  <c r="H46" i="6"/>
  <c r="H45" i="6"/>
  <c r="H44" i="6"/>
  <c r="H43" i="6"/>
  <c r="H42" i="6"/>
  <c r="H41" i="6"/>
  <c r="H40" i="6"/>
  <c r="H39" i="6"/>
  <c r="H38" i="6"/>
  <c r="H37" i="6"/>
  <c r="H36" i="6"/>
  <c r="H35" i="6"/>
  <c r="H34" i="6"/>
  <c r="H33" i="6"/>
  <c r="H32" i="6"/>
  <c r="H31" i="6"/>
  <c r="H30" i="6"/>
  <c r="H22" i="6"/>
  <c r="I22" i="6" s="1"/>
  <c r="J22" i="6" s="1"/>
  <c r="K22" i="6" s="1"/>
  <c r="H21" i="6"/>
  <c r="I21" i="6" s="1"/>
  <c r="J21" i="6" s="1"/>
  <c r="K21" i="6" s="1"/>
  <c r="H20" i="6"/>
  <c r="I20" i="6" s="1"/>
  <c r="J20" i="6" s="1"/>
  <c r="K20" i="6" s="1"/>
  <c r="H19" i="6"/>
  <c r="I19" i="6" s="1"/>
  <c r="J19" i="6" s="1"/>
  <c r="K19" i="6" s="1"/>
  <c r="H18" i="6"/>
  <c r="I18" i="6" s="1"/>
  <c r="J18" i="6" s="1"/>
  <c r="K18" i="6" s="1"/>
  <c r="H17" i="6"/>
  <c r="I17" i="6" s="1"/>
  <c r="J17" i="6" s="1"/>
  <c r="K17" i="6" s="1"/>
  <c r="H16" i="6"/>
  <c r="I16" i="6" s="1"/>
  <c r="J16" i="6" s="1"/>
  <c r="K16" i="6" s="1"/>
  <c r="H15" i="6"/>
  <c r="I15" i="6" s="1"/>
  <c r="J15" i="6" s="1"/>
  <c r="K15" i="6" s="1"/>
  <c r="H14" i="6"/>
  <c r="H13" i="6"/>
  <c r="I13" i="6" s="1"/>
  <c r="J13" i="6" s="1"/>
  <c r="K13" i="6" s="1"/>
  <c r="H12" i="6"/>
  <c r="I12" i="6" s="1"/>
  <c r="J12" i="6" s="1"/>
  <c r="K12" i="6" s="1"/>
  <c r="H11" i="6"/>
  <c r="I11" i="6" s="1"/>
  <c r="J11" i="6" s="1"/>
  <c r="K11" i="6" s="1"/>
  <c r="H10" i="6"/>
  <c r="I10" i="6" s="1"/>
  <c r="J10" i="6" s="1"/>
  <c r="K10" i="6" s="1"/>
  <c r="H9" i="6"/>
  <c r="I9" i="6" s="1"/>
  <c r="J9" i="6" s="1"/>
  <c r="K9" i="6" s="1"/>
  <c r="H8" i="6"/>
  <c r="I8" i="6" s="1"/>
  <c r="J8" i="6" s="1"/>
  <c r="K8" i="6" s="1"/>
  <c r="H7" i="6"/>
  <c r="I7" i="6" s="1"/>
  <c r="J7" i="6" s="1"/>
  <c r="K7" i="6" s="1"/>
  <c r="G47" i="2"/>
  <c r="E47" i="2" s="1"/>
  <c r="D47" i="2" s="1"/>
  <c r="G45" i="2"/>
  <c r="E45" i="2" s="1"/>
  <c r="D45" i="2" s="1"/>
  <c r="G46" i="2"/>
  <c r="E46" i="2" s="1"/>
  <c r="D46" i="2" s="1"/>
  <c r="G44" i="2"/>
  <c r="E44" i="2" s="1"/>
  <c r="D44" i="2" s="1"/>
  <c r="E40" i="2"/>
  <c r="D40" i="2" s="1"/>
  <c r="G39" i="2"/>
  <c r="E39" i="2" s="1"/>
  <c r="D39" i="2" s="1"/>
  <c r="G38" i="2"/>
  <c r="E38" i="2" s="1"/>
  <c r="D38" i="2" s="1"/>
  <c r="G37" i="2"/>
  <c r="G28" i="2"/>
  <c r="E28" i="2" s="1"/>
  <c r="D28" i="2" s="1"/>
  <c r="G27" i="2"/>
  <c r="E27" i="2" s="1"/>
  <c r="D27" i="2" s="1"/>
  <c r="G26" i="2"/>
  <c r="E26" i="2" s="1"/>
  <c r="D26" i="2" s="1"/>
  <c r="G25" i="2"/>
  <c r="E25" i="2" s="1"/>
  <c r="D25" i="2" s="1"/>
  <c r="G16" i="2"/>
  <c r="E16" i="2" s="1"/>
  <c r="D16" i="2" s="1"/>
  <c r="H372" i="6" l="1"/>
  <c r="H368" i="6"/>
  <c r="E37" i="2"/>
  <c r="D37" i="2" s="1"/>
  <c r="H57" i="6"/>
  <c r="I96" i="6"/>
  <c r="I97" i="6" s="1"/>
  <c r="H61" i="6"/>
  <c r="I191" i="6"/>
  <c r="I192" i="6" s="1"/>
  <c r="I273" i="6"/>
  <c r="J273" i="6" s="1"/>
  <c r="K273" i="6" s="1"/>
  <c r="G15" i="2"/>
  <c r="E15" i="2" s="1"/>
  <c r="D15" i="2" s="1"/>
  <c r="O66" i="3"/>
  <c r="O65" i="3"/>
  <c r="O64" i="3"/>
  <c r="O63" i="3"/>
  <c r="O62" i="3"/>
  <c r="O61" i="3"/>
  <c r="O56" i="3"/>
  <c r="O53" i="3"/>
  <c r="M54" i="3"/>
  <c r="M55" i="3"/>
  <c r="M56" i="3"/>
  <c r="M57" i="3"/>
  <c r="M58" i="3"/>
  <c r="M59" i="3"/>
  <c r="M60" i="3"/>
  <c r="M61" i="3"/>
  <c r="M62" i="3"/>
  <c r="M63" i="3"/>
  <c r="M64" i="3"/>
  <c r="M65" i="3"/>
  <c r="M66" i="3"/>
  <c r="M53" i="3"/>
  <c r="O18" i="3"/>
  <c r="O19" i="3"/>
  <c r="O20" i="3"/>
  <c r="O21" i="3"/>
  <c r="O22" i="3"/>
  <c r="O23" i="3"/>
  <c r="O24" i="3"/>
  <c r="O25" i="3"/>
  <c r="O26" i="3"/>
  <c r="O27" i="3"/>
  <c r="O28" i="3"/>
  <c r="O29" i="3"/>
  <c r="O30" i="3"/>
  <c r="O31" i="3"/>
  <c r="O32" i="3"/>
  <c r="O33" i="3"/>
  <c r="O34" i="3"/>
  <c r="O35" i="3"/>
  <c r="O36" i="3"/>
  <c r="O37" i="3"/>
  <c r="O38" i="3"/>
  <c r="O39" i="3"/>
  <c r="O40" i="3"/>
  <c r="O41" i="3"/>
  <c r="O42" i="3"/>
  <c r="O43" i="3"/>
  <c r="O44" i="3"/>
  <c r="O10" i="3"/>
  <c r="O11" i="3"/>
  <c r="O12" i="3"/>
  <c r="O13" i="3"/>
  <c r="O14" i="3"/>
  <c r="O15" i="3"/>
  <c r="O16" i="3"/>
  <c r="O17" i="3"/>
  <c r="M31" i="3"/>
  <c r="M32" i="3"/>
  <c r="M12" i="3"/>
  <c r="M13" i="3"/>
  <c r="M14" i="3"/>
  <c r="M15" i="3"/>
  <c r="M16" i="3"/>
  <c r="M17" i="3"/>
  <c r="M18" i="3"/>
  <c r="M19" i="3"/>
  <c r="M20" i="3"/>
  <c r="M21" i="3"/>
  <c r="M22" i="3"/>
  <c r="M23" i="3"/>
  <c r="M24" i="3"/>
  <c r="M25" i="3"/>
  <c r="M26" i="3"/>
  <c r="M27" i="3"/>
  <c r="M28" i="3"/>
  <c r="M29" i="3"/>
  <c r="M30" i="3"/>
  <c r="M33" i="3"/>
  <c r="M34" i="3"/>
  <c r="M35" i="3"/>
  <c r="M36" i="3"/>
  <c r="M37" i="3"/>
  <c r="M38" i="3"/>
  <c r="M39" i="3"/>
  <c r="M40" i="3"/>
  <c r="M41" i="3"/>
  <c r="M42" i="3"/>
  <c r="M43" i="3"/>
  <c r="M44" i="3"/>
  <c r="M10" i="3"/>
  <c r="H167" i="3"/>
  <c r="I167" i="3" s="1"/>
  <c r="J167" i="3" s="1"/>
  <c r="H166" i="3"/>
  <c r="I166" i="3" s="1"/>
  <c r="J166" i="3" s="1"/>
  <c r="H165" i="3"/>
  <c r="I165" i="3" s="1"/>
  <c r="J165" i="3" s="1"/>
  <c r="H164" i="3"/>
  <c r="I164" i="3" s="1"/>
  <c r="J164" i="3" s="1"/>
  <c r="H163" i="3"/>
  <c r="I163" i="3" s="1"/>
  <c r="J163" i="3" s="1"/>
  <c r="G140" i="3"/>
  <c r="I140" i="3" s="1"/>
  <c r="G138" i="3"/>
  <c r="I138" i="3" s="1"/>
  <c r="G136" i="3"/>
  <c r="I136" i="3" s="1"/>
  <c r="G135" i="3"/>
  <c r="I135" i="3" s="1"/>
  <c r="G130" i="3"/>
  <c r="I130" i="3" s="1"/>
  <c r="G127" i="3"/>
  <c r="I127" i="3" s="1"/>
  <c r="G118" i="3"/>
  <c r="I118" i="3" s="1"/>
  <c r="G116" i="3"/>
  <c r="I116" i="3" s="1"/>
  <c r="G114" i="3"/>
  <c r="I114" i="3" s="1"/>
  <c r="G113" i="3"/>
  <c r="I113" i="3" s="1"/>
  <c r="G112" i="3"/>
  <c r="I112" i="3" s="1"/>
  <c r="G111" i="3"/>
  <c r="I111" i="3" s="1"/>
  <c r="G109" i="3"/>
  <c r="I109" i="3" s="1"/>
  <c r="G107" i="3"/>
  <c r="I107" i="3" s="1"/>
  <c r="G106" i="3"/>
  <c r="I106" i="3" s="1"/>
  <c r="F105" i="3"/>
  <c r="G105" i="3" s="1"/>
  <c r="I105" i="3" s="1"/>
  <c r="G102" i="3"/>
  <c r="I102" i="3" s="1"/>
  <c r="G99" i="3"/>
  <c r="I99" i="3" s="1"/>
  <c r="G95" i="3"/>
  <c r="I95" i="3" s="1"/>
  <c r="G92" i="3"/>
  <c r="I92" i="3" s="1"/>
  <c r="G91" i="3"/>
  <c r="I91" i="3" s="1"/>
  <c r="G90" i="3"/>
  <c r="I90" i="3" s="1"/>
  <c r="H89" i="3"/>
  <c r="I89" i="3" s="1"/>
  <c r="J86" i="3"/>
  <c r="I86" i="3"/>
  <c r="H86" i="3"/>
  <c r="G86" i="3"/>
  <c r="F86" i="3"/>
  <c r="G11" i="3"/>
  <c r="M11" i="3" s="1"/>
  <c r="F11" i="3"/>
  <c r="H10" i="3"/>
  <c r="H11" i="3" s="1"/>
  <c r="H183" i="4"/>
  <c r="I183" i="4" s="1"/>
  <c r="J183" i="4" s="1"/>
  <c r="H182" i="4"/>
  <c r="I182" i="4" s="1"/>
  <c r="J182" i="4" s="1"/>
  <c r="H181" i="4"/>
  <c r="I181" i="4" s="1"/>
  <c r="J181" i="4" s="1"/>
  <c r="H180" i="4"/>
  <c r="I180" i="4" s="1"/>
  <c r="J180" i="4" s="1"/>
  <c r="H179" i="4"/>
  <c r="I179" i="4" s="1"/>
  <c r="J179" i="4" s="1"/>
  <c r="G156" i="4"/>
  <c r="J156" i="4" s="1"/>
  <c r="G154" i="4"/>
  <c r="J154" i="4" s="1"/>
  <c r="G152" i="4"/>
  <c r="J152" i="4" s="1"/>
  <c r="G151" i="4"/>
  <c r="J151" i="4" s="1"/>
  <c r="G146" i="4"/>
  <c r="J146" i="4" s="1"/>
  <c r="G143" i="4"/>
  <c r="J143" i="4" s="1"/>
  <c r="G134" i="4"/>
  <c r="J134" i="4" s="1"/>
  <c r="G132" i="4"/>
  <c r="J132" i="4" s="1"/>
  <c r="G130" i="4"/>
  <c r="J130" i="4" s="1"/>
  <c r="G129" i="4"/>
  <c r="J129" i="4" s="1"/>
  <c r="G128" i="4"/>
  <c r="J128" i="4" s="1"/>
  <c r="G127" i="4"/>
  <c r="J127" i="4" s="1"/>
  <c r="G125" i="4"/>
  <c r="J125" i="4" s="1"/>
  <c r="G123" i="4"/>
  <c r="J123" i="4" s="1"/>
  <c r="G122" i="4"/>
  <c r="J122" i="4" s="1"/>
  <c r="F121" i="4"/>
  <c r="G121" i="4" s="1"/>
  <c r="G118" i="4"/>
  <c r="J118" i="4" s="1"/>
  <c r="G115" i="4"/>
  <c r="J115" i="4" s="1"/>
  <c r="G111" i="4"/>
  <c r="J111" i="4" s="1"/>
  <c r="G108" i="4"/>
  <c r="J108" i="4" s="1"/>
  <c r="G107" i="4"/>
  <c r="J107" i="4" s="1"/>
  <c r="G106" i="4"/>
  <c r="J106" i="4" s="1"/>
  <c r="H105" i="4"/>
  <c r="J105" i="4" s="1"/>
  <c r="J102" i="4"/>
  <c r="I102" i="4"/>
  <c r="H102" i="4"/>
  <c r="G102" i="4"/>
  <c r="F102" i="4"/>
  <c r="H9" i="4"/>
  <c r="K7" i="4"/>
  <c r="H7" i="4"/>
  <c r="I7" i="4" s="1"/>
  <c r="J7" i="4" s="1"/>
  <c r="H83" i="2"/>
  <c r="H82" i="2"/>
  <c r="H81" i="2"/>
  <c r="F83" i="2"/>
  <c r="F82" i="2"/>
  <c r="F81" i="2"/>
  <c r="B88" i="2"/>
  <c r="B90" i="2" s="1"/>
  <c r="C90" i="2" s="1"/>
  <c r="D90" i="2" s="1"/>
  <c r="B85" i="2"/>
  <c r="B87" i="2" s="1"/>
  <c r="C87" i="2" s="1"/>
  <c r="D87" i="2" s="1"/>
  <c r="B82" i="2"/>
  <c r="B84" i="2" s="1"/>
  <c r="C84" i="2" s="1"/>
  <c r="D84" i="2" s="1"/>
  <c r="H80" i="2"/>
  <c r="F78" i="2"/>
  <c r="F80" i="2" s="1"/>
  <c r="G52" i="2"/>
  <c r="E52" i="2" s="1"/>
  <c r="D52" i="2" s="1"/>
  <c r="G21" i="2"/>
  <c r="E21" i="2" s="1"/>
  <c r="D21" i="2" s="1"/>
  <c r="G20" i="2"/>
  <c r="E20" i="2" s="1"/>
  <c r="D20" i="2" s="1"/>
  <c r="F85" i="1" l="1"/>
  <c r="F87" i="1"/>
  <c r="H92" i="3"/>
  <c r="H112" i="3"/>
  <c r="J191" i="6"/>
  <c r="J192" i="6" s="1"/>
  <c r="J96" i="6"/>
  <c r="J97" i="6" s="1"/>
  <c r="K96" i="6"/>
  <c r="K97" i="6" s="1"/>
  <c r="H136" i="3"/>
  <c r="H106" i="3"/>
  <c r="H118" i="3"/>
  <c r="H90" i="3"/>
  <c r="H99" i="3"/>
  <c r="H109" i="3"/>
  <c r="H114" i="3"/>
  <c r="H130" i="3"/>
  <c r="H140" i="3"/>
  <c r="I10" i="3"/>
  <c r="I11" i="3" s="1"/>
  <c r="J90" i="3"/>
  <c r="H91" i="3"/>
  <c r="J92" i="3"/>
  <c r="H95" i="3"/>
  <c r="J99" i="3"/>
  <c r="H102" i="3"/>
  <c r="J106" i="3"/>
  <c r="H107" i="3"/>
  <c r="J109" i="3"/>
  <c r="H111" i="3"/>
  <c r="J112" i="3"/>
  <c r="H113" i="3"/>
  <c r="J114" i="3"/>
  <c r="H116" i="3"/>
  <c r="J118" i="3"/>
  <c r="H127" i="3"/>
  <c r="J130" i="3"/>
  <c r="H135" i="3"/>
  <c r="J136" i="3"/>
  <c r="H138" i="3"/>
  <c r="J140" i="3"/>
  <c r="J91" i="3"/>
  <c r="J95" i="3"/>
  <c r="J102" i="3"/>
  <c r="J107" i="3"/>
  <c r="J111" i="3"/>
  <c r="J113" i="3"/>
  <c r="J116" i="3"/>
  <c r="J127" i="3"/>
  <c r="J135" i="3"/>
  <c r="J138" i="3"/>
  <c r="J89" i="3"/>
  <c r="J105" i="3"/>
  <c r="J10" i="3"/>
  <c r="J11" i="3" s="1"/>
  <c r="I105" i="4"/>
  <c r="J121" i="4"/>
  <c r="I121" i="4"/>
  <c r="I106" i="4"/>
  <c r="I107" i="4"/>
  <c r="I108" i="4"/>
  <c r="I111" i="4"/>
  <c r="I115" i="4"/>
  <c r="I118" i="4"/>
  <c r="I122" i="4"/>
  <c r="I123" i="4"/>
  <c r="I125" i="4"/>
  <c r="I127" i="4"/>
  <c r="I128" i="4"/>
  <c r="I129" i="4"/>
  <c r="I130" i="4"/>
  <c r="I132" i="4"/>
  <c r="I134" i="4"/>
  <c r="I143" i="4"/>
  <c r="I146" i="4"/>
  <c r="I151" i="4"/>
  <c r="I152" i="4"/>
  <c r="I154" i="4"/>
  <c r="I156" i="4"/>
  <c r="H106" i="4"/>
  <c r="H107" i="4"/>
  <c r="H108" i="4"/>
  <c r="H111" i="4"/>
  <c r="H115" i="4"/>
  <c r="H118" i="4"/>
  <c r="H122" i="4"/>
  <c r="H123" i="4"/>
  <c r="H125" i="4"/>
  <c r="H127" i="4"/>
  <c r="H128" i="4"/>
  <c r="H129" i="4"/>
  <c r="H130" i="4"/>
  <c r="H132" i="4"/>
  <c r="H134" i="4"/>
  <c r="H143" i="4"/>
  <c r="H146" i="4"/>
  <c r="H151" i="4"/>
  <c r="H152" i="4"/>
  <c r="H154" i="4"/>
  <c r="H156" i="4"/>
  <c r="K191" i="6" l="1"/>
  <c r="K192" i="6" s="1"/>
  <c r="D27" i="8" l="1"/>
  <c r="E6" i="8" l="1"/>
  <c r="D36" i="8"/>
  <c r="E15" i="8"/>
  <c r="E21" i="8"/>
  <c r="E11" i="8"/>
  <c r="E14" i="8"/>
  <c r="E9" i="8"/>
  <c r="E8" i="8"/>
  <c r="E7" i="8"/>
  <c r="E16" i="8"/>
  <c r="E10" i="8"/>
</calcChain>
</file>

<file path=xl/sharedStrings.xml><?xml version="1.0" encoding="utf-8"?>
<sst xmlns="http://schemas.openxmlformats.org/spreadsheetml/2006/main" count="3875" uniqueCount="1258">
  <si>
    <t>GREATER SEKHUKHUNE DISTRICT MUNICIPALITY</t>
  </si>
  <si>
    <t>WATER AND SANITATION (SEWER) TARRIFS 2011/12</t>
  </si>
  <si>
    <t xml:space="preserve">WATER </t>
  </si>
  <si>
    <t xml:space="preserve">2008/09
</t>
  </si>
  <si>
    <t xml:space="preserve">2009/10
</t>
  </si>
  <si>
    <t xml:space="preserve">2010/11
</t>
  </si>
  <si>
    <t xml:space="preserve"> 2011/12      
</t>
  </si>
  <si>
    <t xml:space="preserve">2012/13
</t>
  </si>
  <si>
    <t xml:space="preserve">2013/14
</t>
  </si>
  <si>
    <t xml:space="preserve">2014/15
</t>
  </si>
  <si>
    <t>AREA OF SUPPLY GREATER TUBATSE LOCAL MUNICIPALITY</t>
  </si>
  <si>
    <t>1. Water Consumption</t>
  </si>
  <si>
    <t>Indigent Persons</t>
  </si>
  <si>
    <t>0kl - 6kl</t>
  </si>
  <si>
    <t>Free</t>
  </si>
  <si>
    <t>Residential</t>
  </si>
  <si>
    <t>Schools</t>
  </si>
  <si>
    <t>7kl - 10kl</t>
  </si>
  <si>
    <t>Churches</t>
  </si>
  <si>
    <t>11kl - 30kl</t>
  </si>
  <si>
    <t>Government Institutions</t>
  </si>
  <si>
    <t>31kl &amp;above</t>
  </si>
  <si>
    <t xml:space="preserve">Business Area                           </t>
  </si>
  <si>
    <t>7kl - 30kl</t>
  </si>
  <si>
    <t>31kl &amp; above</t>
  </si>
  <si>
    <t>Tankers</t>
  </si>
  <si>
    <t xml:space="preserve"> Per kiloliter</t>
  </si>
  <si>
    <t>Praktiseer</t>
  </si>
  <si>
    <t>GA Mapodile</t>
  </si>
  <si>
    <t>All tariffs are VAT exclusive</t>
  </si>
  <si>
    <t>AREA OF SUPPLY SEKHUKHUNE DISTRICT MUNICIPALITY DIRECT SUPPLY</t>
  </si>
  <si>
    <t>SEWERAGE</t>
  </si>
  <si>
    <t xml:space="preserve">2011/12
</t>
  </si>
  <si>
    <t>Indigent People</t>
  </si>
  <si>
    <t>See policy</t>
  </si>
  <si>
    <t>Residential Stands</t>
  </si>
  <si>
    <t xml:space="preserve"> </t>
  </si>
  <si>
    <t xml:space="preserve">0 to 500 sqm         </t>
  </si>
  <si>
    <t>per stand</t>
  </si>
  <si>
    <t>Size of the stand</t>
  </si>
  <si>
    <t xml:space="preserve">501 and more        </t>
  </si>
  <si>
    <t>Residential 2 &amp; 3 Stands</t>
  </si>
  <si>
    <t xml:space="preserve">Per unit/flat          </t>
  </si>
  <si>
    <t>per unit /flat</t>
  </si>
  <si>
    <t>Business Stands</t>
  </si>
  <si>
    <t>Minimum charge &lt;1000sqm</t>
  </si>
  <si>
    <t>Greater than 1000sqm (per additional 1000sqm)</t>
  </si>
  <si>
    <t>per size of building</t>
  </si>
  <si>
    <t>Government Prop.</t>
  </si>
  <si>
    <t>Businesses and Industrial</t>
  </si>
  <si>
    <t>Fix charge</t>
  </si>
  <si>
    <t xml:space="preserve">Schools </t>
  </si>
  <si>
    <t>Per student</t>
  </si>
  <si>
    <t>Government and</t>
  </si>
  <si>
    <t>Minimum charge stands &lt;1000sqm</t>
  </si>
  <si>
    <t xml:space="preserve"> Municipal</t>
  </si>
  <si>
    <t>Other</t>
  </si>
  <si>
    <t>Domestic effluent by private tanker per kilolitre</t>
  </si>
  <si>
    <t>Domestic effluent by drum of 210 litres</t>
  </si>
  <si>
    <t>Trade effluent from inside the jurisction per tanker</t>
  </si>
  <si>
    <t>Trade effluent from outside the jurisction per tanker</t>
  </si>
  <si>
    <t>100 mm nominal diameter connection</t>
  </si>
  <si>
    <t>150 mm nominal diameter connection</t>
  </si>
  <si>
    <t>Inspection of connections</t>
  </si>
  <si>
    <t>Interest on outstanding amounts more than 30 days</t>
  </si>
  <si>
    <t>Prime plus 1%</t>
  </si>
  <si>
    <t>BULK CONTRIBUTIONS</t>
  </si>
  <si>
    <t>Bulk Contribution per unit</t>
  </si>
  <si>
    <t>Sewerage</t>
  </si>
  <si>
    <t>(Residential)</t>
  </si>
  <si>
    <t>Water</t>
  </si>
  <si>
    <t>Roads &amp; Streetlights</t>
  </si>
  <si>
    <t>Total</t>
  </si>
  <si>
    <t>(Business)</t>
  </si>
  <si>
    <t>B. REGULATIONS</t>
  </si>
  <si>
    <t xml:space="preserve">ARTICLE </t>
  </si>
  <si>
    <t>FINES</t>
  </si>
  <si>
    <t>A15</t>
  </si>
  <si>
    <t>INSTALLATIONS /MAINTENANCE AND OPERATION</t>
  </si>
  <si>
    <t xml:space="preserve">Fail to ensure that any service installation provided in or </t>
  </si>
  <si>
    <t xml:space="preserve">in connection with a building be maintained in a safe and </t>
  </si>
  <si>
    <t>properly working condition.</t>
  </si>
  <si>
    <t>A18</t>
  </si>
  <si>
    <t>CONTROL OF PLUMBERS AND PLUMBING WORK</t>
  </si>
  <si>
    <t>Plumbing work done by untrained and unlicensed plumbers</t>
  </si>
  <si>
    <t>F11</t>
  </si>
  <si>
    <t>SANITARY FACILITIES</t>
  </si>
  <si>
    <t>Fail to provide sanitary facilities for the workers.</t>
  </si>
  <si>
    <t>P1</t>
  </si>
  <si>
    <t xml:space="preserve">COMPULSORY DRAINAGE </t>
  </si>
  <si>
    <t>No suitable disposal of waterborne sewerage.</t>
  </si>
  <si>
    <t>BUILDINGS</t>
  </si>
  <si>
    <t>P3</t>
  </si>
  <si>
    <t>CONTROL OF OBJECTION-</t>
  </si>
  <si>
    <t xml:space="preserve">Cause storm water to be discharge in sewer system. </t>
  </si>
  <si>
    <t>ABLE DISCHARGE</t>
  </si>
  <si>
    <t>Cause sewerage to be discharged in storm water system.</t>
  </si>
  <si>
    <t>P4</t>
  </si>
  <si>
    <t>INDUSTRIAL EFFLUENT</t>
  </si>
  <si>
    <t>Discharge of industrial effluent in sewer system</t>
  </si>
  <si>
    <t>without Local Authority approval,</t>
  </si>
  <si>
    <t>P5</t>
  </si>
  <si>
    <t>DISCONNECTION</t>
  </si>
  <si>
    <t>Fail to seal drainage connection after disconnecting from drain.</t>
  </si>
  <si>
    <t>P6</t>
  </si>
  <si>
    <t xml:space="preserve">UNAUTHORISED DRAINAGE </t>
  </si>
  <si>
    <t>Interfere with or illegal connecting of sewer.</t>
  </si>
  <si>
    <t>WORK</t>
  </si>
  <si>
    <t>P7</t>
  </si>
  <si>
    <t xml:space="preserve">INSPECTION AND TESTING </t>
  </si>
  <si>
    <t>Fail to test drainage installation before put into use.</t>
  </si>
  <si>
    <t xml:space="preserve">OF DRAINAGE AND </t>
  </si>
  <si>
    <t>INSTALLATION</t>
  </si>
  <si>
    <t>AREA OF SUPPLY EPHRAIM MOGALE LOCAL MUNICIPALITY</t>
  </si>
  <si>
    <t>Basic Availability Charges</t>
  </si>
  <si>
    <t>Fixed p.m</t>
  </si>
  <si>
    <t>Rebates</t>
  </si>
  <si>
    <t>Basic Charge Part Time / Time Managed Supply (50% Discount)</t>
  </si>
  <si>
    <t>All Metered Consumers</t>
  </si>
  <si>
    <t>0-6kl consumed (if not registered as indigent in terms of Council indigent policy)</t>
  </si>
  <si>
    <t>Variable</t>
  </si>
  <si>
    <t>NOTE: If registered as indigent in terms of Council indigent policy, the first 6 kl is free, 7 – 10 kl</t>
  </si>
  <si>
    <t>11 – 30 kl consumed</t>
  </si>
  <si>
    <t>More than 30kl consumed</t>
  </si>
  <si>
    <t>Residential Consumers pre-paid per kl</t>
  </si>
  <si>
    <t>Communal stand pipes (pre-paid metered) 0 – 6kl</t>
  </si>
  <si>
    <t>Communal stand pipes (pre-paid metered) Rate above 6kl</t>
  </si>
  <si>
    <t>Communal standpipes (above RDP supply) monthly flat rate</t>
  </si>
  <si>
    <t>Non residential consumers metered tariff block 0 – 6kl</t>
  </si>
  <si>
    <t>2.10</t>
  </si>
  <si>
    <t>Non residential consumers metered tariff  7 – 30kl</t>
  </si>
  <si>
    <t>Non residential consumers metered tariff Over 30kl</t>
  </si>
  <si>
    <t>Monthly basic charge for residential consumers metered</t>
  </si>
  <si>
    <t>Monthly basic charge for non residential consumers metered</t>
  </si>
  <si>
    <t>All Non Metered Consumers</t>
  </si>
  <si>
    <t>Flat – if not metered separately</t>
  </si>
  <si>
    <t>Sectional titles – if not metered separately</t>
  </si>
  <si>
    <t>Government supported educational institutions - if not metered separately</t>
  </si>
  <si>
    <t>Residential consumers unmetered (monthly basis)</t>
  </si>
  <si>
    <t>Charges for the supply of water, per meter, per month, whilst there is a restriction on the consumption of water</t>
  </si>
  <si>
    <t>Normal tariffs plus an surcharge of 100% above a limit as determined by the Council from time to time.  All charges for water supplied shall be payable within the time specified in the account rendered.</t>
  </si>
  <si>
    <t>SEWER SERVICES</t>
  </si>
  <si>
    <t>MARBLE HALL - Charges payable that the Council approves of the amendment for sewer services.</t>
  </si>
  <si>
    <t>Minimum Charges Payable per month or part thereof</t>
  </si>
  <si>
    <t>3.1.1</t>
  </si>
  <si>
    <t>Availability Charges - For every erf, stand or premises which is or, in the opinion of the Council can be connected to the sewer, whether built upon or not:</t>
  </si>
  <si>
    <t>(a)</t>
  </si>
  <si>
    <t>Private dwelling house:</t>
  </si>
  <si>
    <t>(b)</t>
  </si>
  <si>
    <t>Stands which belongs to the Government: Provincial Administration or Churches</t>
  </si>
  <si>
    <t>(i)</t>
  </si>
  <si>
    <t>SA Transport Services:  Station Site</t>
  </si>
  <si>
    <t>(ii)</t>
  </si>
  <si>
    <t>S A Transport Services Erf 148; SA Police Erf 147; Schools and Sport fields.</t>
  </si>
  <si>
    <t>Up to 2000m² soil surface or part thereof</t>
  </si>
  <si>
    <t>For the first additional 2000m² surface or part thereof</t>
  </si>
  <si>
    <t>(c)</t>
  </si>
  <si>
    <t>For each subsequent 2000m² soil surface or part thereof.</t>
  </si>
  <si>
    <t>(iii)</t>
  </si>
  <si>
    <t>Other Government, provincial and church stands</t>
  </si>
  <si>
    <t>Business and flat stands:</t>
  </si>
  <si>
    <t>(d)</t>
  </si>
  <si>
    <t>Industrial Stands:</t>
  </si>
  <si>
    <t>Up to 2000m² soil surface</t>
  </si>
  <si>
    <t>For the first additional 2000m² soil surface</t>
  </si>
  <si>
    <t>For each subsequent 2000m²soil surface or part thereof</t>
  </si>
  <si>
    <t>3.1.2</t>
  </si>
  <si>
    <t>Additional Charges</t>
  </si>
  <si>
    <t>All stands for each sewer point:</t>
  </si>
  <si>
    <t>For the application of this item a sewer point shall be deemed to be each and every separate toilet, urinal trough for each 650mm length or part thereof.</t>
  </si>
  <si>
    <t>3.1.3</t>
  </si>
  <si>
    <t>New Connections to Sewer</t>
  </si>
  <si>
    <t>For each residential drainage installation connected to the main sewer.</t>
  </si>
  <si>
    <t>For each industrial drainage installation connected to the main sewer.</t>
  </si>
  <si>
    <t>3.1.4</t>
  </si>
  <si>
    <t>Opening Blocked Drains</t>
  </si>
  <si>
    <t>All stands for the opening of a blocked drain per hour or part thereof.</t>
  </si>
  <si>
    <t>3.1.5</t>
  </si>
  <si>
    <t>Vacuum Tank Removal Services</t>
  </si>
  <si>
    <t>Services within the Marble Hall Town</t>
  </si>
  <si>
    <t>Industrial sites per month: whether removal takes place or not.</t>
  </si>
  <si>
    <t>Mines per month, whether removal takes place or not</t>
  </si>
  <si>
    <t>Services outside Marble Hall Town @ R5 per km plus per load</t>
  </si>
  <si>
    <t>3.2.1</t>
  </si>
  <si>
    <t>LEEUFONTEIN - Charges payable that the Council approves of the amendment for sewer services.</t>
  </si>
  <si>
    <t>Private Dwelling</t>
  </si>
  <si>
    <t>Government, Provincial Administration</t>
  </si>
  <si>
    <t>Industrial Stands</t>
  </si>
  <si>
    <t>(e)</t>
  </si>
  <si>
    <t>Continued...</t>
  </si>
  <si>
    <t>3.2.2</t>
  </si>
  <si>
    <t>All stands for each sewer point (other than the first sewer point).  A sewer point shall be deemed each and every separate toilet or urinal trough (per 650mm length or part thereof).</t>
  </si>
  <si>
    <t>3.2.3</t>
  </si>
  <si>
    <t>For each residential drainage installation connected to the main sewer:</t>
  </si>
  <si>
    <t>For each industrial drainage installation connected to the main sewer:</t>
  </si>
  <si>
    <t>3.2.4</t>
  </si>
  <si>
    <t>All stands for the opening of blocked drain per hour or part thereof:</t>
  </si>
  <si>
    <t>3.2.5</t>
  </si>
  <si>
    <t>Services within Leeuwfontein:</t>
  </si>
  <si>
    <t>Industrial sites per month: whether removal takes place or not:</t>
  </si>
  <si>
    <t>Mines per month, whether removal takes place or not:</t>
  </si>
  <si>
    <t>Private Dwellings, whether removal takes place or not:</t>
  </si>
  <si>
    <t>AREA OF SUPPLY ELIAS MOTSOALEDI  LOCAL MUNICIPALITY</t>
  </si>
  <si>
    <t>AREA OF SUPPLY ELIAS MOTSWALEDI LOCAL MUNICIPALITY</t>
  </si>
  <si>
    <t>WATER</t>
  </si>
  <si>
    <t>i)</t>
  </si>
  <si>
    <t>Residentiail</t>
  </si>
  <si>
    <t>Metered</t>
  </si>
  <si>
    <t>Basic charge</t>
  </si>
  <si>
    <t>Unit Charge</t>
  </si>
  <si>
    <t>First 6 Units (Indigents)</t>
  </si>
  <si>
    <t>First 6 Units (Non-Indigents)</t>
  </si>
  <si>
    <t>7 to 10 Units</t>
  </si>
  <si>
    <t>11 to 30 Units</t>
  </si>
  <si>
    <t>Above 30 units</t>
  </si>
  <si>
    <t>Unmetered</t>
  </si>
  <si>
    <t>Monthly Flat Rate</t>
  </si>
  <si>
    <t>Pre-Paid</t>
  </si>
  <si>
    <t>Communal Stand Pipes (Above RDP)</t>
  </si>
  <si>
    <t>Communal Stand Pipes (Pre-Paid)</t>
  </si>
  <si>
    <t>First 6 Units</t>
  </si>
  <si>
    <t>ii)</t>
  </si>
  <si>
    <t>Commercial/ Industry</t>
  </si>
  <si>
    <t>7 to 30 Units</t>
  </si>
  <si>
    <t>Departmental</t>
  </si>
  <si>
    <t>iii)</t>
  </si>
  <si>
    <t>Connection Fee</t>
  </si>
  <si>
    <t>iv)</t>
  </si>
  <si>
    <t>Water Tankers (per tank)</t>
  </si>
  <si>
    <t>AREA OF SUPPLY ELIAS MOTSOALEDI LOCAL MUNICIPALITY</t>
  </si>
  <si>
    <t>Basic charge (Residential)</t>
  </si>
  <si>
    <t>Basic charge (Commercial)</t>
  </si>
  <si>
    <t>Sewerage Points</t>
  </si>
  <si>
    <t>First two Points</t>
  </si>
  <si>
    <t>There after per point</t>
  </si>
  <si>
    <t>Commercial</t>
  </si>
  <si>
    <t>Other Sewerage Tariffs</t>
  </si>
  <si>
    <t>IV)</t>
  </si>
  <si>
    <t>New connections (Water/Sewerage)</t>
  </si>
  <si>
    <t>As calculated by the Director Technical Services (Cost + 10%)</t>
  </si>
  <si>
    <t>V)</t>
  </si>
  <si>
    <t>Issue of Council Documents/Information</t>
  </si>
  <si>
    <t>Basic Fee of R30 plus photo copy fees as in paragraph (II) of Sundry Tariffs</t>
  </si>
  <si>
    <t>Basic charge Full Time Supply</t>
  </si>
  <si>
    <t>After First 6 Units</t>
  </si>
  <si>
    <t>Other - (Spectic tankers)</t>
  </si>
  <si>
    <t>1. DEPOSITS</t>
  </si>
  <si>
    <t>The Director Finance determines the deposit as required from time to time.</t>
  </si>
  <si>
    <t>Currently the minimum is as follows:</t>
  </si>
  <si>
    <t>If the amount on the current account is below the indicated value the correction should be levied over a period of 12 months from 1 July 2010</t>
  </si>
  <si>
    <t>Household</t>
  </si>
  <si>
    <t>Flats</t>
  </si>
  <si>
    <t>Small Businesses, Commercial and Industial Consumers (Below 100kl per month)</t>
  </si>
  <si>
    <t>RDP - Water</t>
  </si>
  <si>
    <t>RDP - Sanitation</t>
  </si>
  <si>
    <t>Large Businesses, Mines, Industries and Developments as per agreement when connected or as adjusted - reviewed annually on 1 July to twice average consumption cost for the prior year plus increase for the year.</t>
  </si>
  <si>
    <t>2. Other Water Tariffs</t>
  </si>
  <si>
    <t>Illegal consumption</t>
  </si>
  <si>
    <t>Pipes 12mm to 40 mm</t>
  </si>
  <si>
    <t>(Once of Levy)</t>
  </si>
  <si>
    <t>Pipes 50mm to 90 mm</t>
  </si>
  <si>
    <t>Meter Connections</t>
  </si>
  <si>
    <t>Connections 20 mm</t>
  </si>
  <si>
    <t>(households)</t>
  </si>
  <si>
    <t>Connections 25 mm</t>
  </si>
  <si>
    <t>Pre paid Meters</t>
  </si>
  <si>
    <t>House connections</t>
  </si>
  <si>
    <t>cost plus 10%</t>
  </si>
  <si>
    <t>Other Connections</t>
  </si>
  <si>
    <t>40mm</t>
  </si>
  <si>
    <t>Household excluded</t>
  </si>
  <si>
    <t>50mm</t>
  </si>
  <si>
    <t xml:space="preserve">80mm </t>
  </si>
  <si>
    <t>100mm</t>
  </si>
  <si>
    <t xml:space="preserve">More than 100mm </t>
  </si>
  <si>
    <t>New water service applications</t>
  </si>
  <si>
    <t>Water Disconnection/Restriction</t>
  </si>
  <si>
    <t xml:space="preserve">Water Reconnection </t>
  </si>
  <si>
    <t>Charges for Special Meter Reading</t>
  </si>
  <si>
    <t>When a consumer requires his meter to be read by the Council at any time other than the appointed date.</t>
  </si>
  <si>
    <t>Testing of Meters</t>
  </si>
  <si>
    <r>
      <t>If the municipality is requested by a consumer to test the accuracy of a meter a fee</t>
    </r>
    <r>
      <rPr>
        <sz val="10"/>
        <color theme="1"/>
        <rFont val="Calibri"/>
        <family val="2"/>
        <scheme val="minor"/>
      </rPr>
      <t xml:space="preserve"> per meter required to be tested, shall be payable.</t>
    </r>
  </si>
  <si>
    <t>Fire Fighting (refer to tariffs as subimtted by Emergency Services)</t>
  </si>
  <si>
    <t>PART XI ANNEXURES</t>
  </si>
  <si>
    <t>Data base registration</t>
  </si>
  <si>
    <t>Tender documents(Hard copy or Soft copy)</t>
  </si>
  <si>
    <t>From 200 000-1 000 000</t>
  </si>
  <si>
    <t>From 1 000 001-5 000 000</t>
  </si>
  <si>
    <t>From 5 000 001-10 000 000</t>
  </si>
  <si>
    <t>From 10 000 001- 20 000 000</t>
  </si>
  <si>
    <t>From 20 000 001- 50 000 000</t>
  </si>
  <si>
    <t>From 50 000 001- 100 000 000</t>
  </si>
  <si>
    <t>From  100 000 001+</t>
  </si>
  <si>
    <t>Municipal Documents</t>
  </si>
  <si>
    <t>FROM 250 PAGES +</t>
  </si>
  <si>
    <t>Per soft copy(compact disk)</t>
  </si>
  <si>
    <t>Municipal Health Services( Refer to environmental health by-laws)</t>
  </si>
  <si>
    <t>ANNEXURE A</t>
  </si>
  <si>
    <t>SEKHUKHUNE DISTRICT MUNICIPALITY</t>
  </si>
  <si>
    <t xml:space="preserve">2015/16
</t>
  </si>
  <si>
    <t xml:space="preserve">2016/17
</t>
  </si>
  <si>
    <t xml:space="preserve">2017/18
</t>
  </si>
  <si>
    <t xml:space="preserve">2018/19
</t>
  </si>
  <si>
    <t xml:space="preserve">2019/20
</t>
  </si>
  <si>
    <t>2020/2021</t>
  </si>
  <si>
    <t>2021/2022</t>
  </si>
  <si>
    <t>2022/2023</t>
  </si>
  <si>
    <t>2023/2024</t>
  </si>
  <si>
    <t>2024/2025</t>
  </si>
  <si>
    <t>2025/2026</t>
  </si>
  <si>
    <t>2026/2027</t>
  </si>
  <si>
    <t>2019/20</t>
  </si>
  <si>
    <t>Basic charge ( complexes with 10 or less units)</t>
  </si>
  <si>
    <t>Basic charge (complexes with greater  10 units)</t>
  </si>
  <si>
    <t>Business</t>
  </si>
  <si>
    <t>Basic charge Government</t>
  </si>
  <si>
    <t xml:space="preserve">Basic charge Malls </t>
  </si>
  <si>
    <t>Consumption charge</t>
  </si>
  <si>
    <t>Churches &amp; Government Institutions</t>
  </si>
  <si>
    <t xml:space="preserve">Commercial/ Industry </t>
  </si>
  <si>
    <t>Residential Sucking</t>
  </si>
  <si>
    <t>Business Sucking</t>
  </si>
  <si>
    <t>Basic charge for sucking (Businesses)</t>
  </si>
  <si>
    <t>Waste water</t>
  </si>
  <si>
    <t>2020/21</t>
  </si>
  <si>
    <t>Interest on outstanding amounts more than 90 days</t>
  </si>
  <si>
    <t xml:space="preserve">2020/21
</t>
  </si>
  <si>
    <t>cost plus 5%</t>
  </si>
  <si>
    <t>BASIC SEWERAGE</t>
  </si>
  <si>
    <t xml:space="preserve">SQUARE METERS </t>
  </si>
  <si>
    <t xml:space="preserve">Basic sewerage industrial </t>
  </si>
  <si>
    <t>BSEI11</t>
  </si>
  <si>
    <t>BSEI12</t>
  </si>
  <si>
    <t>BSEI13</t>
  </si>
  <si>
    <t>BSEI14</t>
  </si>
  <si>
    <t>BSIN1</t>
  </si>
  <si>
    <t>Continue….</t>
  </si>
  <si>
    <t>BSEIN2</t>
  </si>
  <si>
    <t>BSEIN3</t>
  </si>
  <si>
    <t>BSEIN4</t>
  </si>
  <si>
    <t>BSEIN5</t>
  </si>
  <si>
    <t>BSEIN6</t>
  </si>
  <si>
    <t>BSEIN7</t>
  </si>
  <si>
    <t>BSEIN8</t>
  </si>
  <si>
    <t>BSEIN9</t>
  </si>
  <si>
    <t>BSEIND</t>
  </si>
  <si>
    <t>Basic sewerage police stations &amp; schools</t>
  </si>
  <si>
    <t>BSEPO1</t>
  </si>
  <si>
    <t>BSEPO2</t>
  </si>
  <si>
    <t>BSEPO3</t>
  </si>
  <si>
    <t>BSEPO4</t>
  </si>
  <si>
    <t>BSEPO5</t>
  </si>
  <si>
    <t>BSEI10</t>
  </si>
  <si>
    <t>BWCSP</t>
  </si>
  <si>
    <t>BSEGOV</t>
  </si>
  <si>
    <t>BSESTM</t>
  </si>
  <si>
    <t>BSESTG</t>
  </si>
  <si>
    <t>BSETRN</t>
  </si>
  <si>
    <t>BSEBUS</t>
  </si>
  <si>
    <t>3.3.1. DEPOSITS</t>
  </si>
  <si>
    <t>If the amount on the current account is below the indicated value the correction should be levied over a period of 12 months from 1 July 2024</t>
  </si>
  <si>
    <t xml:space="preserve">Small Businesses, Commercial and Industial Consumers </t>
  </si>
  <si>
    <t xml:space="preserve">Malls , Hospitals, Departments etc </t>
  </si>
  <si>
    <t>3.3.2. Other Water Tariffs</t>
  </si>
  <si>
    <t>Illegal connection</t>
  </si>
  <si>
    <t>Tampering of meter</t>
  </si>
  <si>
    <t>12mm-40mm</t>
  </si>
  <si>
    <t>&gt;40mm</t>
  </si>
  <si>
    <t>Tampering of restrictor</t>
  </si>
  <si>
    <t>Admin fee for permit (Dumping of sewer)</t>
  </si>
  <si>
    <t>Transportation for dumping of sewer permit</t>
  </si>
  <si>
    <t>waste water charge (kl)</t>
  </si>
  <si>
    <t>Reminder notice</t>
  </si>
  <si>
    <t>final demand notice</t>
  </si>
  <si>
    <t>Clearance figures re-issue</t>
  </si>
  <si>
    <t>N/A</t>
  </si>
  <si>
    <r>
      <t>CERTIFICATE OF ENDORSEMENT</t>
    </r>
    <r>
      <rPr>
        <b/>
        <sz val="14"/>
        <color theme="1"/>
        <rFont val="Calibri"/>
        <family val="2"/>
      </rPr>
      <t>:</t>
    </r>
  </si>
  <si>
    <t>This Policy shall come into effect on the date of endorsement and shall cease only in the event where such changes/variations has been reduced to writing, approved by council and been signed by the Speaker. Unless in the event where any changes in any applicable Act, Legislation has jurisdiction to supersede.</t>
  </si>
  <si>
    <t>___________________</t>
  </si>
  <si>
    <t>__________________</t>
  </si>
  <si>
    <t>Date:______________</t>
  </si>
  <si>
    <t>For and on behalf of Municipality</t>
  </si>
  <si>
    <t>As witness for Municipality</t>
  </si>
  <si>
    <t>____________________</t>
  </si>
  <si>
    <t>____________</t>
  </si>
  <si>
    <t>Date</t>
  </si>
  <si>
    <t>Notes to the revised tariff</t>
  </si>
  <si>
    <t>Incremental Concept</t>
  </si>
  <si>
    <t>All tariffs applicable increase by 10% including Sundry Charges, however there's  additional % increases for LM's in terms aligning to SDM's tariffs over the next 3 years</t>
  </si>
  <si>
    <t>Discount</t>
  </si>
  <si>
    <t>Basic Charge Part Time / Time Managed Supply of water (50% Discount)</t>
  </si>
  <si>
    <t xml:space="preserve">Indigent rebates </t>
  </si>
  <si>
    <t>0-6 (kl) are free and charges are only applicable if consumptions exceed 6kl</t>
  </si>
  <si>
    <t>Greater Tubatse</t>
  </si>
  <si>
    <t>Tariff Water:</t>
  </si>
  <si>
    <t xml:space="preserve">Basic Charge Water: </t>
  </si>
  <si>
    <t>Baseline Increament</t>
  </si>
  <si>
    <t>Yearly Alignment % Increase</t>
  </si>
  <si>
    <t>Yearly % Increase for the next 3 yrs</t>
  </si>
  <si>
    <t>From</t>
  </si>
  <si>
    <t>To</t>
  </si>
  <si>
    <t>Greater Tubatse increases by 10% yearly a further by 24% over 3 yrs to align with SDM.</t>
  </si>
  <si>
    <t>Ephraim Mogale</t>
  </si>
  <si>
    <t>Ephraim Mogale increases by 10% and a further 5.90% spread over 3 years bringing it to in line to SDM</t>
  </si>
  <si>
    <t>Elias Motsoaledi</t>
  </si>
  <si>
    <t>Elias Motswaledi increases by 10% and a further 4.86% spread over 3yrs bringing it to in line to SDM 2014/15</t>
  </si>
  <si>
    <t>Residential Stands Basic</t>
  </si>
  <si>
    <t>Residential Stands Unit</t>
  </si>
  <si>
    <t>Business Stands Basic</t>
  </si>
  <si>
    <t>Business Stands Unit</t>
  </si>
  <si>
    <t>Sekhukhune District</t>
  </si>
  <si>
    <t xml:space="preserve">Measure of 50% discount </t>
  </si>
  <si>
    <t>10% if discharge occurs at specified times only;</t>
  </si>
  <si>
    <t>15% if flow is balanced and discharged evenly over 7 days at specified times only;</t>
  </si>
  <si>
    <t>Calc:</t>
  </si>
  <si>
    <t>Tubatse</t>
  </si>
  <si>
    <t>SDM</t>
  </si>
  <si>
    <t>B/C</t>
  </si>
  <si>
    <t>Tariff based on 10KL</t>
  </si>
  <si>
    <t>Dif:</t>
  </si>
  <si>
    <t>B/C SDM</t>
  </si>
  <si>
    <t xml:space="preserve">B/C over 31 Days per month </t>
  </si>
  <si>
    <t>3yrs</t>
  </si>
  <si>
    <t>3 yrs</t>
  </si>
  <si>
    <t xml:space="preserve">In line with SDM </t>
  </si>
  <si>
    <t>Same B/C</t>
  </si>
  <si>
    <t>Septic Tank - Residential (look at effluent charges)</t>
  </si>
  <si>
    <t>Septic Tank - Business (look at effluent charges)</t>
  </si>
  <si>
    <t xml:space="preserve">Landfill sites </t>
  </si>
  <si>
    <t>SUNDRY TARRIFFS 2024/2025</t>
  </si>
  <si>
    <t>Item no</t>
  </si>
  <si>
    <t>Description</t>
  </si>
  <si>
    <t>2010/2011</t>
  </si>
  <si>
    <t>2013/2014</t>
  </si>
  <si>
    <t>2014/2015</t>
  </si>
  <si>
    <t>2015/2016</t>
  </si>
  <si>
    <t>2016/2017</t>
  </si>
  <si>
    <t>2017/2018</t>
  </si>
  <si>
    <t>2018/2019</t>
  </si>
  <si>
    <t>2019/2020</t>
  </si>
  <si>
    <t>Deposit for water supply</t>
  </si>
  <si>
    <t>One and month's estimatedConsumption for consumers who own premises and six month’s estimated consumption for consumers who are tenants multiplied by the appropriate</t>
  </si>
  <si>
    <t>As in main tariff</t>
  </si>
  <si>
    <t>Connections of charge based on nominal size of connections</t>
  </si>
  <si>
    <t>(1)20 mm</t>
  </si>
  <si>
    <t>Cost plus 10%</t>
  </si>
  <si>
    <t>(2)25 mm</t>
  </si>
  <si>
    <t>4147.7</t>
  </si>
  <si>
    <t>(3)40 mm</t>
  </si>
  <si>
    <t>6387.7</t>
  </si>
  <si>
    <t>(4)50 mm</t>
  </si>
  <si>
    <t>7902.1</t>
  </si>
  <si>
    <t>(5)75 mm</t>
  </si>
  <si>
    <t>Full Cost</t>
  </si>
  <si>
    <t>(6)100 mm</t>
  </si>
  <si>
    <t>(7)150 mm</t>
  </si>
  <si>
    <t>(8)more than 150m</t>
  </si>
  <si>
    <t>(9) Service charge in excess of 3om-for every 5m or part thereof provided that in any Municipal Housing Scheme, the connection fee may, at the discretion of the authorised delegate be charged at full cost.</t>
  </si>
  <si>
    <t>15% surcharge</t>
  </si>
  <si>
    <t>15,3% surcharge</t>
  </si>
  <si>
    <t>14,9% surcharge</t>
  </si>
  <si>
    <t>14,7% surcharge</t>
  </si>
  <si>
    <t>Cutting –off or restriction of water supply</t>
  </si>
  <si>
    <t xml:space="preserve"> R    131.92 </t>
  </si>
  <si>
    <t>(1)due to no payment or payment irregularity, such payment to be refunded subject to all monies outstanding being paid on the same day as the disconnection and provided supply has not been similarly disconnected during the three previous three months.</t>
  </si>
  <si>
    <t>145.1034</t>
  </si>
  <si>
    <t>131.917</t>
  </si>
  <si>
    <t>(2) due to illegal reconnection of water supply</t>
  </si>
  <si>
    <t>147.234</t>
  </si>
  <si>
    <t>195.97</t>
  </si>
  <si>
    <t>215.56</t>
  </si>
  <si>
    <t>159.97</t>
  </si>
  <si>
    <t>Semi-pressure connection</t>
  </si>
  <si>
    <t>733.2</t>
  </si>
  <si>
    <t>1034.44</t>
  </si>
  <si>
    <t>1 096.51</t>
  </si>
  <si>
    <t>1162.3</t>
  </si>
  <si>
    <t>1 232.04</t>
  </si>
  <si>
    <t>Restricted(stand pipe)connection</t>
  </si>
  <si>
    <t>1349.4</t>
  </si>
  <si>
    <t>1 903.81</t>
  </si>
  <si>
    <t>2 018.04</t>
  </si>
  <si>
    <t>2 139.12</t>
  </si>
  <si>
    <t>2 267.47</t>
  </si>
  <si>
    <t>Reinstatement of water supply</t>
  </si>
  <si>
    <t>(1)Subject to item 4(4) and 4(5),after cutting –off or water restriction non payment of monies</t>
  </si>
  <si>
    <t>521.59</t>
  </si>
  <si>
    <t>552.89</t>
  </si>
  <si>
    <t>586.06</t>
  </si>
  <si>
    <t>621.23</t>
  </si>
  <si>
    <t>(2) After disconnection at consumer’s request</t>
  </si>
  <si>
    <t>420.3</t>
  </si>
  <si>
    <t>592.99</t>
  </si>
  <si>
    <t>628.56</t>
  </si>
  <si>
    <t>666.28</t>
  </si>
  <si>
    <t>706.25</t>
  </si>
  <si>
    <t>(3)After cutting-off or restriction due to contravention of water restriction notice</t>
  </si>
  <si>
    <t>653.23</t>
  </si>
  <si>
    <t>692.42</t>
  </si>
  <si>
    <t>733.96</t>
  </si>
  <si>
    <t>(4)After cutting –off due to non payment of monies due, such monies having been paid on the same day as the disconnection was effected provided that the supply has not similarly disconnected during previous three months.</t>
  </si>
  <si>
    <t>NILL</t>
  </si>
  <si>
    <t>(5) After cutting-off due to non payment of monies due,the water supply being reinstated on the day following that on which payment is made.</t>
  </si>
  <si>
    <t>Changes in size of matter at authorised delegates discretion</t>
  </si>
  <si>
    <t>Water availability .charge</t>
  </si>
  <si>
    <r>
      <t>(1)</t>
    </r>
    <r>
      <rPr>
        <sz val="7"/>
        <color theme="1"/>
        <rFont val="Times New Roman"/>
        <family val="1"/>
      </rPr>
      <t xml:space="preserve">    </t>
    </r>
    <r>
      <rPr>
        <sz val="11"/>
        <color theme="1"/>
        <rFont val="Calibri"/>
        <family val="2"/>
        <scheme val="minor"/>
      </rPr>
      <t>Each communication pipe</t>
    </r>
  </si>
  <si>
    <r>
      <t>(2)</t>
    </r>
    <r>
      <rPr>
        <sz val="7"/>
        <color theme="1"/>
        <rFont val="Times New Roman"/>
        <family val="1"/>
      </rPr>
      <t xml:space="preserve">    </t>
    </r>
    <r>
      <rPr>
        <sz val="11"/>
        <color theme="1"/>
        <rFont val="Calibri"/>
        <family val="2"/>
        <scheme val="minor"/>
      </rPr>
      <t>Each mater</t>
    </r>
  </si>
  <si>
    <t>Deposit for hydrant meter-per hour</t>
  </si>
  <si>
    <t>Supervision of hydrant meter per hour or part thereof</t>
  </si>
  <si>
    <t>569.93</t>
  </si>
  <si>
    <t>596.71</t>
  </si>
  <si>
    <t>632.51</t>
  </si>
  <si>
    <t>670.46</t>
  </si>
  <si>
    <t>Use hydrant meter-per hour</t>
  </si>
  <si>
    <t>Testing of meter-per  hour</t>
  </si>
  <si>
    <t>(1)Class 2 and 4</t>
  </si>
  <si>
    <t>246.9</t>
  </si>
  <si>
    <t>348.34</t>
  </si>
  <si>
    <t>369.24</t>
  </si>
  <si>
    <t>391.39</t>
  </si>
  <si>
    <t>414.88</t>
  </si>
  <si>
    <t>(2)Class 12 and 16 and 35</t>
  </si>
  <si>
    <t>678.1</t>
  </si>
  <si>
    <t>956.7</t>
  </si>
  <si>
    <t>1014.11</t>
  </si>
  <si>
    <t>1074.95</t>
  </si>
  <si>
    <t>1139.45</t>
  </si>
  <si>
    <t>(3)Class 55 and 100</t>
  </si>
  <si>
    <t>704.3</t>
  </si>
  <si>
    <t>993.67</t>
  </si>
  <si>
    <t>1 053.29</t>
  </si>
  <si>
    <t>1116.48</t>
  </si>
  <si>
    <t>1 183.47</t>
  </si>
  <si>
    <t>(4)Class 200</t>
  </si>
  <si>
    <t>1 293.76</t>
  </si>
  <si>
    <t>1 371.39</t>
  </si>
  <si>
    <t>1 453.67</t>
  </si>
  <si>
    <t>1 540.89</t>
  </si>
  <si>
    <t>(5)Over class 200</t>
  </si>
  <si>
    <t>Approval of installation of work</t>
  </si>
  <si>
    <r>
      <t>(1)</t>
    </r>
    <r>
      <rPr>
        <sz val="7"/>
        <color theme="1"/>
        <rFont val="Times New Roman"/>
        <family val="1"/>
      </rPr>
      <t xml:space="preserve">    </t>
    </r>
    <r>
      <rPr>
        <sz val="11"/>
        <color theme="1"/>
        <rFont val="Calibri"/>
        <family val="2"/>
        <scheme val="minor"/>
      </rPr>
      <t>Single dwelling unit</t>
    </r>
  </si>
  <si>
    <r>
      <t>(2)</t>
    </r>
    <r>
      <rPr>
        <sz val="7"/>
        <color theme="1"/>
        <rFont val="Times New Roman"/>
        <family val="1"/>
      </rPr>
      <t xml:space="preserve">    </t>
    </r>
    <r>
      <rPr>
        <sz val="11"/>
        <color theme="1"/>
        <rFont val="Calibri"/>
        <family val="2"/>
        <scheme val="minor"/>
      </rPr>
      <t>Multiple dwelling units and other installation</t>
    </r>
  </si>
  <si>
    <t>302.2</t>
  </si>
  <si>
    <r>
      <t>(3)</t>
    </r>
    <r>
      <rPr>
        <sz val="7"/>
        <color theme="1"/>
        <rFont val="Times New Roman"/>
        <family val="1"/>
      </rPr>
      <t xml:space="preserve">    </t>
    </r>
    <r>
      <rPr>
        <sz val="11"/>
        <color theme="1"/>
        <rFont val="Calibri"/>
        <family val="2"/>
        <scheme val="minor"/>
      </rPr>
      <t>Alterations  to existing installations</t>
    </r>
  </si>
  <si>
    <r>
      <t>(4)</t>
    </r>
    <r>
      <rPr>
        <sz val="7"/>
        <color theme="1"/>
        <rFont val="Times New Roman"/>
        <family val="1"/>
      </rPr>
      <t xml:space="preserve">    </t>
    </r>
    <r>
      <rPr>
        <sz val="11"/>
        <color theme="1"/>
        <rFont val="Calibri"/>
        <family val="2"/>
        <scheme val="minor"/>
      </rPr>
      <t>Alterations to existing installation</t>
    </r>
  </si>
  <si>
    <t>Extension of validity of approval of installation work per year</t>
  </si>
  <si>
    <t>30.4</t>
  </si>
  <si>
    <t>42.89</t>
  </si>
  <si>
    <t>45.46</t>
  </si>
  <si>
    <t>48.19</t>
  </si>
  <si>
    <t>51.08</t>
  </si>
  <si>
    <t>Permission for private persons to carry out installation work</t>
  </si>
  <si>
    <t>143.3</t>
  </si>
  <si>
    <t>202.17</t>
  </si>
  <si>
    <t>214.3</t>
  </si>
  <si>
    <t>227.16</t>
  </si>
  <si>
    <t>240.79</t>
  </si>
  <si>
    <t>Registration contractor in GTLM</t>
  </si>
  <si>
    <t>Renewal of contractor ‘s registration in GTLM</t>
  </si>
  <si>
    <t>58.2</t>
  </si>
  <si>
    <t>82.11</t>
  </si>
  <si>
    <t>87.03</t>
  </si>
  <si>
    <t>92.26</t>
  </si>
  <si>
    <t>97.79</t>
  </si>
  <si>
    <t>Registration of responsible plumber in GTLM</t>
  </si>
  <si>
    <t>87.4</t>
  </si>
  <si>
    <t>123.31</t>
  </si>
  <si>
    <t>130.71</t>
  </si>
  <si>
    <t>138.55</t>
  </si>
  <si>
    <t>146.86</t>
  </si>
  <si>
    <t>Renewal responsible plumber in GTLM</t>
  </si>
  <si>
    <t>31.9</t>
  </si>
  <si>
    <t>45.01</t>
  </si>
  <si>
    <t>47.71</t>
  </si>
  <si>
    <t>50.57</t>
  </si>
  <si>
    <t>53.6</t>
  </si>
  <si>
    <t>Replacements of certificates of registration in GTLM</t>
  </si>
  <si>
    <t>58.6</t>
  </si>
  <si>
    <t>82.68</t>
  </si>
  <si>
    <t>87.64</t>
  </si>
  <si>
    <t>92.9</t>
  </si>
  <si>
    <t>98.47</t>
  </si>
  <si>
    <t>Re-inspection after disinfection and testing.</t>
  </si>
  <si>
    <t>213.1</t>
  </si>
  <si>
    <t>300.66</t>
  </si>
  <si>
    <t>318.7</t>
  </si>
  <si>
    <t>337.82</t>
  </si>
  <si>
    <t>358.09</t>
  </si>
  <si>
    <t>Application of approval fittings</t>
  </si>
  <si>
    <t>Renewal of approval fittings</t>
  </si>
  <si>
    <t>fittings</t>
  </si>
  <si>
    <t>Schedule of accepted pipes and water fittings.</t>
  </si>
  <si>
    <t>24.89</t>
  </si>
  <si>
    <t>Pressure Tests</t>
  </si>
  <si>
    <t>(1)24 hour pressure recording</t>
  </si>
  <si>
    <t>550.09</t>
  </si>
  <si>
    <t>583.09</t>
  </si>
  <si>
    <t>618.08</t>
  </si>
  <si>
    <t>655.06</t>
  </si>
  <si>
    <t>(2)7 day pressure recording</t>
  </si>
  <si>
    <t>389.9</t>
  </si>
  <si>
    <t>655.16</t>
  </si>
  <si>
    <t>(3)Pressure and flow test</t>
  </si>
  <si>
    <t>279.2</t>
  </si>
  <si>
    <t>393.91</t>
  </si>
  <si>
    <t>417.54</t>
  </si>
  <si>
    <t>442.59</t>
  </si>
  <si>
    <t>469.15</t>
  </si>
  <si>
    <t>Replacement of hydrant seal</t>
  </si>
  <si>
    <t>Testing of water from other sources</t>
  </si>
  <si>
    <t>Change of meter outside normal working hours at consumer’s request</t>
  </si>
  <si>
    <t>200 above the meter price</t>
  </si>
  <si>
    <t>Locating a consumer ‘s pipes and  tracing leaks:</t>
  </si>
  <si>
    <r>
      <t>(1)</t>
    </r>
    <r>
      <rPr>
        <sz val="7"/>
        <color theme="1"/>
        <rFont val="Times New Roman"/>
        <family val="1"/>
      </rPr>
      <t xml:space="preserve">    </t>
    </r>
    <r>
      <rPr>
        <sz val="11"/>
        <color theme="1"/>
        <rFont val="Calibri"/>
        <family val="2"/>
        <scheme val="minor"/>
      </rPr>
      <t>During normal working hours</t>
    </r>
  </si>
  <si>
    <t>744.9</t>
  </si>
  <si>
    <t>1050.95</t>
  </si>
  <si>
    <t>1 114.00</t>
  </si>
  <si>
    <t>1180.84</t>
  </si>
  <si>
    <t>1 251.70</t>
  </si>
  <si>
    <r>
      <t>(2)</t>
    </r>
    <r>
      <rPr>
        <sz val="7"/>
        <color theme="1"/>
        <rFont val="Times New Roman"/>
        <family val="1"/>
      </rPr>
      <t xml:space="preserve">    </t>
    </r>
    <r>
      <rPr>
        <sz val="11"/>
        <color theme="1"/>
        <rFont val="Calibri"/>
        <family val="2"/>
        <scheme val="minor"/>
      </rPr>
      <t>Outside working hours at consumer’s request</t>
    </r>
  </si>
  <si>
    <t>1 632.37</t>
  </si>
  <si>
    <t>1 730.31</t>
  </si>
  <si>
    <t>1 834.13</t>
  </si>
  <si>
    <t>1 944.18</t>
  </si>
  <si>
    <t>Changing over existing 15/20/25mm connection to consumer’s renewed piping</t>
  </si>
  <si>
    <t>547.8</t>
  </si>
  <si>
    <t>772.87</t>
  </si>
  <si>
    <t>819.24</t>
  </si>
  <si>
    <t>868.39</t>
  </si>
  <si>
    <t>920.5</t>
  </si>
  <si>
    <t>Resisting of fire hydrant:</t>
  </si>
  <si>
    <r>
      <t>(1)</t>
    </r>
    <r>
      <rPr>
        <sz val="7"/>
        <color theme="1"/>
        <rFont val="Times New Roman"/>
        <family val="1"/>
      </rPr>
      <t xml:space="preserve">    </t>
    </r>
    <r>
      <rPr>
        <sz val="11"/>
        <color theme="1"/>
        <rFont val="Calibri"/>
        <family val="2"/>
        <scheme val="minor"/>
      </rPr>
      <t>Distance no exceeding 2m</t>
    </r>
  </si>
  <si>
    <t>3372.9</t>
  </si>
  <si>
    <t>4 758.69</t>
  </si>
  <si>
    <t>5 044.21</t>
  </si>
  <si>
    <t>5 346.86</t>
  </si>
  <si>
    <t>5 667.68</t>
  </si>
  <si>
    <r>
      <t xml:space="preserve">           (2)</t>
    </r>
    <r>
      <rPr>
        <sz val="7"/>
        <color theme="1"/>
        <rFont val="Times New Roman"/>
        <family val="1"/>
      </rPr>
      <t xml:space="preserve">    </t>
    </r>
    <r>
      <rPr>
        <sz val="11"/>
        <color theme="1"/>
        <rFont val="Calibri"/>
        <family val="2"/>
        <scheme val="minor"/>
      </rPr>
      <t>Distance exceeding 2m(including the relocation of the hydrant tee)</t>
    </r>
  </si>
  <si>
    <t>10 599.79</t>
  </si>
  <si>
    <t>11 235.78</t>
  </si>
  <si>
    <t>11 909.92</t>
  </si>
  <si>
    <t>12 624.52</t>
  </si>
  <si>
    <t>Resisting of water meter</t>
  </si>
  <si>
    <r>
      <t>(1)</t>
    </r>
    <r>
      <rPr>
        <sz val="7"/>
        <color theme="1"/>
        <rFont val="Times New Roman"/>
        <family val="1"/>
      </rPr>
      <t xml:space="preserve">    </t>
    </r>
    <r>
      <rPr>
        <sz val="11"/>
        <color theme="1"/>
        <rFont val="Calibri"/>
        <family val="2"/>
        <scheme val="minor"/>
      </rPr>
      <t>Distance no exceeding 2m for connection size:</t>
    </r>
  </si>
  <si>
    <r>
      <t xml:space="preserve">            (a)</t>
    </r>
    <r>
      <rPr>
        <sz val="7"/>
        <color theme="1"/>
        <rFont val="Times New Roman"/>
        <family val="1"/>
      </rPr>
      <t xml:space="preserve">    </t>
    </r>
    <r>
      <rPr>
        <sz val="11"/>
        <color theme="1"/>
        <rFont val="Calibri"/>
        <family val="2"/>
        <scheme val="minor"/>
      </rPr>
      <t>15.20 and 25 mm</t>
    </r>
  </si>
  <si>
    <t>749.4</t>
  </si>
  <si>
    <t>1 163.02</t>
  </si>
  <si>
    <t>1 232.80</t>
  </si>
  <si>
    <t>1 306.77</t>
  </si>
  <si>
    <t>1 358.18</t>
  </si>
  <si>
    <r>
      <t>(b)</t>
    </r>
    <r>
      <rPr>
        <sz val="7"/>
        <color theme="1"/>
        <rFont val="Times New Roman"/>
        <family val="1"/>
      </rPr>
      <t xml:space="preserve">   </t>
    </r>
    <r>
      <rPr>
        <sz val="11"/>
        <color theme="1"/>
        <rFont val="Calibri"/>
        <family val="2"/>
        <scheme val="minor"/>
      </rPr>
      <t>40 and 50 mm</t>
    </r>
  </si>
  <si>
    <t>1043.5</t>
  </si>
  <si>
    <t>1 619.46</t>
  </si>
  <si>
    <t>1 716.62</t>
  </si>
  <si>
    <t>1 819.62</t>
  </si>
  <si>
    <t>1 928.80</t>
  </si>
  <si>
    <r>
      <t>(c)</t>
    </r>
    <r>
      <rPr>
        <sz val="7"/>
        <color theme="1"/>
        <rFont val="Times New Roman"/>
        <family val="1"/>
      </rPr>
      <t xml:space="preserve">    </t>
    </r>
    <r>
      <rPr>
        <sz val="11"/>
        <color theme="1"/>
        <rFont val="Calibri"/>
        <family val="2"/>
        <scheme val="minor"/>
      </rPr>
      <t>75 and 100 mm</t>
    </r>
  </si>
  <si>
    <t>2424.3</t>
  </si>
  <si>
    <t>3 420.34</t>
  </si>
  <si>
    <t>3 625.57</t>
  </si>
  <si>
    <t>3 843.10</t>
  </si>
  <si>
    <t>4 073.68</t>
  </si>
  <si>
    <r>
      <t>(d)</t>
    </r>
    <r>
      <rPr>
        <sz val="7"/>
        <color theme="1"/>
        <rFont val="Times New Roman"/>
        <family val="1"/>
      </rPr>
      <t xml:space="preserve">   </t>
    </r>
    <r>
      <rPr>
        <sz val="11"/>
        <color theme="1"/>
        <rFont val="Calibri"/>
        <family val="2"/>
        <scheme val="minor"/>
      </rPr>
      <t>150 mm</t>
    </r>
  </si>
  <si>
    <t>3844.1</t>
  </si>
  <si>
    <t>5 423.49</t>
  </si>
  <si>
    <t>5 748.90</t>
  </si>
  <si>
    <t>6 093.83</t>
  </si>
  <si>
    <t>6 459.46</t>
  </si>
  <si>
    <r>
      <t>(e)</t>
    </r>
    <r>
      <rPr>
        <sz val="7"/>
        <color theme="1"/>
        <rFont val="Times New Roman"/>
        <family val="1"/>
      </rPr>
      <t xml:space="preserve">   </t>
    </r>
    <r>
      <rPr>
        <sz val="11"/>
        <color theme="1"/>
        <rFont val="Calibri"/>
        <family val="2"/>
        <scheme val="minor"/>
      </rPr>
      <t>Over 150 mm</t>
    </r>
  </si>
  <si>
    <t>Full cost</t>
  </si>
  <si>
    <r>
      <t>(2)</t>
    </r>
    <r>
      <rPr>
        <sz val="7"/>
        <color theme="1"/>
        <rFont val="Times New Roman"/>
        <family val="1"/>
      </rPr>
      <t xml:space="preserve">    </t>
    </r>
    <r>
      <rPr>
        <sz val="11"/>
        <color theme="1"/>
        <rFont val="Calibri"/>
        <family val="2"/>
        <scheme val="minor"/>
      </rPr>
      <t>Distance exceeding 2m</t>
    </r>
  </si>
  <si>
    <t>The tariff for a new connection will apply</t>
  </si>
  <si>
    <t>Repairing of water connection equal to or less than 25 mm nominal diameter</t>
  </si>
  <si>
    <t>678.7</t>
  </si>
  <si>
    <t>1053.31</t>
  </si>
  <si>
    <t>1116.51</t>
  </si>
  <si>
    <t>1183.5</t>
  </si>
  <si>
    <t>1254.51</t>
  </si>
  <si>
    <t>Penalty for consumer piping not being in order  for connection to council water main on date requested</t>
  </si>
  <si>
    <t>97.3</t>
  </si>
  <si>
    <t>160.06</t>
  </si>
  <si>
    <t>169.66</t>
  </si>
  <si>
    <t>179.84</t>
  </si>
  <si>
    <t>Replacement of damaged or stolen water meter</t>
  </si>
  <si>
    <r>
      <t>(1)</t>
    </r>
    <r>
      <rPr>
        <sz val="7"/>
        <color theme="1"/>
        <rFont val="Times New Roman"/>
        <family val="1"/>
      </rPr>
      <t xml:space="preserve">    </t>
    </r>
    <r>
      <rPr>
        <sz val="11"/>
        <color theme="1"/>
        <rFont val="Calibri"/>
        <family val="2"/>
        <scheme val="minor"/>
      </rPr>
      <t>Class 2</t>
    </r>
  </si>
  <si>
    <t>519.7</t>
  </si>
  <si>
    <t>733.22</t>
  </si>
  <si>
    <t>777.22</t>
  </si>
  <si>
    <t>823.85</t>
  </si>
  <si>
    <t>873.28</t>
  </si>
  <si>
    <r>
      <t>(2)</t>
    </r>
    <r>
      <rPr>
        <sz val="7"/>
        <color theme="1"/>
        <rFont val="Times New Roman"/>
        <family val="1"/>
      </rPr>
      <t xml:space="preserve">    </t>
    </r>
    <r>
      <rPr>
        <sz val="11"/>
        <color theme="1"/>
        <rFont val="Calibri"/>
        <family val="2"/>
        <scheme val="minor"/>
      </rPr>
      <t>Class 4</t>
    </r>
  </si>
  <si>
    <t>626.6</t>
  </si>
  <si>
    <t>972.45</t>
  </si>
  <si>
    <t>1030.8</t>
  </si>
  <si>
    <t>1092.65</t>
  </si>
  <si>
    <t>1158.21</t>
  </si>
  <si>
    <r>
      <t>(3)</t>
    </r>
    <r>
      <rPr>
        <sz val="7"/>
        <color theme="1"/>
        <rFont val="Times New Roman"/>
        <family val="1"/>
      </rPr>
      <t xml:space="preserve">    </t>
    </r>
    <r>
      <rPr>
        <sz val="11"/>
        <color theme="1"/>
        <rFont val="Calibri"/>
        <family val="2"/>
        <scheme val="minor"/>
      </rPr>
      <t>Class 12</t>
    </r>
  </si>
  <si>
    <t>1,102.60</t>
  </si>
  <si>
    <t>1 711.18</t>
  </si>
  <si>
    <t>1 813.85</t>
  </si>
  <si>
    <t>1 922.68</t>
  </si>
  <si>
    <t>2 038.04</t>
  </si>
  <si>
    <r>
      <t>(4)</t>
    </r>
    <r>
      <rPr>
        <sz val="7"/>
        <color theme="1"/>
        <rFont val="Times New Roman"/>
        <family val="1"/>
      </rPr>
      <t xml:space="preserve">    </t>
    </r>
    <r>
      <rPr>
        <sz val="11"/>
        <color theme="1"/>
        <rFont val="Calibri"/>
        <family val="2"/>
        <scheme val="minor"/>
      </rPr>
      <t>Greater than Class 12</t>
    </r>
  </si>
  <si>
    <t>Full costs</t>
  </si>
  <si>
    <t>Inspection ,rectification or replacement of an authorized domestic water connection detected by GTLM or its Agent</t>
  </si>
  <si>
    <r>
      <t>(1)</t>
    </r>
    <r>
      <rPr>
        <sz val="7"/>
        <color theme="1"/>
        <rFont val="Times New Roman"/>
        <family val="1"/>
      </rPr>
      <t xml:space="preserve">    </t>
    </r>
    <r>
      <rPr>
        <sz val="11"/>
        <color theme="1"/>
        <rFont val="Calibri"/>
        <family val="2"/>
        <scheme val="minor"/>
      </rPr>
      <t>Semi Pressure</t>
    </r>
  </si>
  <si>
    <t>576.6</t>
  </si>
  <si>
    <t>894.85</t>
  </si>
  <si>
    <t>948.54</t>
  </si>
  <si>
    <t>1005.46</t>
  </si>
  <si>
    <t>1065.78</t>
  </si>
  <si>
    <r>
      <t>(2)</t>
    </r>
    <r>
      <rPr>
        <sz val="7"/>
        <color theme="1"/>
        <rFont val="Times New Roman"/>
        <family val="1"/>
      </rPr>
      <t xml:space="preserve">    </t>
    </r>
    <r>
      <rPr>
        <sz val="11"/>
        <color theme="1"/>
        <rFont val="Calibri"/>
        <family val="2"/>
        <scheme val="minor"/>
      </rPr>
      <t>Full Pressure</t>
    </r>
  </si>
  <si>
    <t>1,318.10</t>
  </si>
  <si>
    <t>2 049.47</t>
  </si>
  <si>
    <t>2 172.44</t>
  </si>
  <si>
    <t>2 302.78</t>
  </si>
  <si>
    <t>2 440.95</t>
  </si>
  <si>
    <t>Request for GIS information</t>
  </si>
  <si>
    <r>
      <t>(1)</t>
    </r>
    <r>
      <rPr>
        <sz val="7"/>
        <color theme="1"/>
        <rFont val="Times New Roman"/>
        <family val="1"/>
      </rPr>
      <t xml:space="preserve">    </t>
    </r>
    <r>
      <rPr>
        <sz val="11"/>
        <color theme="1"/>
        <rFont val="Calibri"/>
        <family val="2"/>
        <scheme val="minor"/>
      </rPr>
      <t>AO- No backdrop (prints from GIS) per print</t>
    </r>
  </si>
  <si>
    <t>58.8</t>
  </si>
  <si>
    <t>82.97</t>
  </si>
  <si>
    <t>87.94</t>
  </si>
  <si>
    <t>93.22</t>
  </si>
  <si>
    <t>98.81</t>
  </si>
  <si>
    <r>
      <t>(2)</t>
    </r>
    <r>
      <rPr>
        <sz val="7"/>
        <color theme="1"/>
        <rFont val="Times New Roman"/>
        <family val="1"/>
      </rPr>
      <t xml:space="preserve">    </t>
    </r>
    <r>
      <rPr>
        <sz val="11"/>
        <color theme="1"/>
        <rFont val="Calibri"/>
        <family val="2"/>
        <scheme val="minor"/>
      </rPr>
      <t>A1 – No backdrop (prints from GIS) per print</t>
    </r>
  </si>
  <si>
    <t>34.7</t>
  </si>
  <si>
    <t>48.22</t>
  </si>
  <si>
    <t>51.11</t>
  </si>
  <si>
    <t>54.18</t>
  </si>
  <si>
    <t>57.43</t>
  </si>
  <si>
    <r>
      <t>(3)</t>
    </r>
    <r>
      <rPr>
        <sz val="7"/>
        <color theme="1"/>
        <rFont val="Times New Roman"/>
        <family val="1"/>
      </rPr>
      <t xml:space="preserve">    </t>
    </r>
    <r>
      <rPr>
        <sz val="11"/>
        <color theme="1"/>
        <rFont val="Calibri"/>
        <family val="2"/>
        <scheme val="minor"/>
      </rPr>
      <t>A2- – No backdrop (prints from GIS) per print</t>
    </r>
  </si>
  <si>
    <t>23.1</t>
  </si>
  <si>
    <t>29.63</t>
  </si>
  <si>
    <t>31.4</t>
  </si>
  <si>
    <t>33.29</t>
  </si>
  <si>
    <t>35.29</t>
  </si>
  <si>
    <r>
      <t>(4)</t>
    </r>
    <r>
      <rPr>
        <sz val="7"/>
        <color theme="1"/>
        <rFont val="Times New Roman"/>
        <family val="1"/>
      </rPr>
      <t xml:space="preserve">    </t>
    </r>
    <r>
      <rPr>
        <sz val="11"/>
        <color theme="1"/>
        <rFont val="Calibri"/>
        <family val="2"/>
        <scheme val="minor"/>
      </rPr>
      <t>A3– No backdrop (prints from GIS) per print</t>
    </r>
  </si>
  <si>
    <t>12.1</t>
  </si>
  <si>
    <t>17.03</t>
  </si>
  <si>
    <t>18.06</t>
  </si>
  <si>
    <t>19.14</t>
  </si>
  <si>
    <t>20.29</t>
  </si>
  <si>
    <r>
      <t>(5)</t>
    </r>
    <r>
      <rPr>
        <sz val="7"/>
        <color theme="1"/>
        <rFont val="Times New Roman"/>
        <family val="1"/>
      </rPr>
      <t xml:space="preserve">    </t>
    </r>
    <r>
      <rPr>
        <sz val="11"/>
        <color theme="1"/>
        <rFont val="Calibri"/>
        <family val="2"/>
        <scheme val="minor"/>
      </rPr>
      <t>A4– No backdrop (prints from GIS) per print</t>
    </r>
  </si>
  <si>
    <t>15.52</t>
  </si>
  <si>
    <t>16.45</t>
  </si>
  <si>
    <t>17.44</t>
  </si>
  <si>
    <t>18.48</t>
  </si>
  <si>
    <r>
      <t>(6)</t>
    </r>
    <r>
      <rPr>
        <sz val="7"/>
        <color theme="1"/>
        <rFont val="Times New Roman"/>
        <family val="1"/>
      </rPr>
      <t xml:space="preserve">    </t>
    </r>
    <r>
      <rPr>
        <sz val="11"/>
        <color theme="1"/>
        <rFont val="Calibri"/>
        <family val="2"/>
        <scheme val="minor"/>
      </rPr>
      <t>AO-4 No backdrop (prints from GIS) per print</t>
    </r>
  </si>
  <si>
    <t>173.3</t>
  </si>
  <si>
    <t>244.5</t>
  </si>
  <si>
    <t>259.17</t>
  </si>
  <si>
    <t>274.72</t>
  </si>
  <si>
    <t>291.2</t>
  </si>
  <si>
    <r>
      <t>(8)</t>
    </r>
    <r>
      <rPr>
        <sz val="7"/>
        <color theme="1"/>
        <rFont val="Times New Roman"/>
        <family val="1"/>
      </rPr>
      <t xml:space="preserve">    </t>
    </r>
    <r>
      <rPr>
        <sz val="11"/>
        <color theme="1"/>
        <rFont val="Calibri"/>
        <family val="2"/>
        <scheme val="minor"/>
      </rPr>
      <t>A2 A1-4 No backdrop (prints from GIS) per print</t>
    </r>
  </si>
  <si>
    <t>70.4</t>
  </si>
  <si>
    <t>99.32</t>
  </si>
  <si>
    <t>105.28</t>
  </si>
  <si>
    <t>111.6</t>
  </si>
  <si>
    <t>118.29</t>
  </si>
  <si>
    <r>
      <t>(9)</t>
    </r>
    <r>
      <rPr>
        <sz val="7"/>
        <color theme="1"/>
        <rFont val="Times New Roman"/>
        <family val="1"/>
      </rPr>
      <t xml:space="preserve">    </t>
    </r>
    <r>
      <rPr>
        <sz val="11"/>
        <color theme="1"/>
        <rFont val="Calibri"/>
        <family val="2"/>
        <scheme val="minor"/>
      </rPr>
      <t>A3 A2 A1-4 No backdrop (prints from GIS) per print</t>
    </r>
  </si>
  <si>
    <t>40.5</t>
  </si>
  <si>
    <t>57.14</t>
  </si>
  <si>
    <t>60.57</t>
  </si>
  <si>
    <t>64.21</t>
  </si>
  <si>
    <t>68.06</t>
  </si>
  <si>
    <t>(10) A4 A3 A2 A1-4 No backdrop (prints from GIS) per print</t>
  </si>
  <si>
    <t>37.1</t>
  </si>
  <si>
    <t>39.33</t>
  </si>
  <si>
    <t>41.69</t>
  </si>
  <si>
    <t>44.19</t>
  </si>
  <si>
    <t>(11)A0 Copy of original per  print</t>
  </si>
  <si>
    <t>14.8</t>
  </si>
  <si>
    <t>23.21</t>
  </si>
  <si>
    <t>24.61</t>
  </si>
  <si>
    <t>26.08</t>
  </si>
  <si>
    <t>27.65</t>
  </si>
  <si>
    <t>(12) A1 Copy of original per  print</t>
  </si>
  <si>
    <t>7.4</t>
  </si>
  <si>
    <t>10.44</t>
  </si>
  <si>
    <t>11.07</t>
  </si>
  <si>
    <t>11.73</t>
  </si>
  <si>
    <t>12.44</t>
  </si>
  <si>
    <t>(13) A2 A1 Copy of original per  print</t>
  </si>
  <si>
    <t>3.8</t>
  </si>
  <si>
    <t>5.36</t>
  </si>
  <si>
    <t>5.69</t>
  </si>
  <si>
    <t>6.03</t>
  </si>
  <si>
    <t>6.39</t>
  </si>
  <si>
    <t>(14) Photocopies A4 per print</t>
  </si>
  <si>
    <t>1.6</t>
  </si>
  <si>
    <t>2.26</t>
  </si>
  <si>
    <t>2.39</t>
  </si>
  <si>
    <t>2.54</t>
  </si>
  <si>
    <t>2.69</t>
  </si>
  <si>
    <t>(15) Photocopies A3 per print</t>
  </si>
  <si>
    <t>2.7</t>
  </si>
  <si>
    <t>3.82</t>
  </si>
  <si>
    <t>4.04</t>
  </si>
  <si>
    <t>4.29</t>
  </si>
  <si>
    <t>4.54</t>
  </si>
  <si>
    <t>(16) Microfilm to paper copies per copy</t>
  </si>
  <si>
    <t>36.8</t>
  </si>
  <si>
    <t>51.92</t>
  </si>
  <si>
    <t>55.03</t>
  </si>
  <si>
    <t>58.34</t>
  </si>
  <si>
    <t>61.84</t>
  </si>
  <si>
    <t>(17)  Paper to microcopies per copy</t>
  </si>
  <si>
    <t>6.9</t>
  </si>
  <si>
    <t>9.74</t>
  </si>
  <si>
    <t>10.33</t>
  </si>
  <si>
    <t>10.95</t>
  </si>
  <si>
    <t>11.6</t>
  </si>
  <si>
    <t>(18) Standard drawing per set</t>
  </si>
  <si>
    <t>55.1</t>
  </si>
  <si>
    <t>77.74</t>
  </si>
  <si>
    <t>82.4</t>
  </si>
  <si>
    <t>87.35</t>
  </si>
  <si>
    <t>92.59</t>
  </si>
  <si>
    <t>(19) Standard drawing per sheet</t>
  </si>
  <si>
    <t>(20) Standard drawing on CD (if available)</t>
  </si>
  <si>
    <t>(21) Blank CD (Digital Data Request)</t>
  </si>
  <si>
    <t>10.5</t>
  </si>
  <si>
    <t>14.82</t>
  </si>
  <si>
    <t>15.71</t>
  </si>
  <si>
    <t>16.65</t>
  </si>
  <si>
    <t>17.65</t>
  </si>
  <si>
    <t>(22) 0-999 Kilobytes (Digital Data Request)</t>
  </si>
  <si>
    <t>63.6</t>
  </si>
  <si>
    <t>89.74</t>
  </si>
  <si>
    <t>95.12</t>
  </si>
  <si>
    <t>100.83</t>
  </si>
  <si>
    <t>106.88</t>
  </si>
  <si>
    <t>(23) 1-5 Megs per Meg (Digital Data Request)</t>
  </si>
  <si>
    <t>254.2</t>
  </si>
  <si>
    <t>358.64</t>
  </si>
  <si>
    <t>380.16</t>
  </si>
  <si>
    <t>402.97</t>
  </si>
  <si>
    <t>427.15</t>
  </si>
  <si>
    <t>(24) More than 5 Megs per Meg (Digital Data Request)</t>
  </si>
  <si>
    <t>115.5</t>
  </si>
  <si>
    <t>162.96</t>
  </si>
  <si>
    <t>172.74</t>
  </si>
  <si>
    <t>183.11</t>
  </si>
  <si>
    <t>194.09</t>
  </si>
  <si>
    <t>(25) A4 Street Map Book(Unicity)-per copy</t>
  </si>
  <si>
    <t>385.16</t>
  </si>
  <si>
    <t>408.27</t>
  </si>
  <si>
    <t>432.77</t>
  </si>
  <si>
    <t>458.73</t>
  </si>
  <si>
    <t>(26) A3 Water Reticulation Map Book –per copy per unit(9 Units in existence)</t>
  </si>
  <si>
    <t>Charge for the installation of a class 2 water meter in a water installation</t>
  </si>
  <si>
    <r>
      <t>(1)</t>
    </r>
    <r>
      <rPr>
        <sz val="7"/>
        <color theme="1"/>
        <rFont val="Times New Roman"/>
        <family val="1"/>
      </rPr>
      <t xml:space="preserve">    </t>
    </r>
    <r>
      <rPr>
        <sz val="11"/>
        <color theme="1"/>
        <rFont val="Calibri"/>
        <family val="2"/>
        <scheme val="minor"/>
      </rPr>
      <t>20mm</t>
    </r>
  </si>
  <si>
    <t>522.7</t>
  </si>
  <si>
    <t>609.47</t>
  </si>
  <si>
    <t>646.04</t>
  </si>
  <si>
    <t>684.8</t>
  </si>
  <si>
    <t>725.89</t>
  </si>
  <si>
    <r>
      <t>(2)</t>
    </r>
    <r>
      <rPr>
        <sz val="7"/>
        <color theme="1"/>
        <rFont val="Times New Roman"/>
        <family val="1"/>
      </rPr>
      <t xml:space="preserve">    </t>
    </r>
    <r>
      <rPr>
        <sz val="11"/>
        <color theme="1"/>
        <rFont val="Calibri"/>
        <family val="2"/>
        <scheme val="minor"/>
      </rPr>
      <t>25mm</t>
    </r>
  </si>
  <si>
    <t>675.3</t>
  </si>
  <si>
    <t>787.4</t>
  </si>
  <si>
    <t>834.64</t>
  </si>
  <si>
    <t>884.72</t>
  </si>
  <si>
    <t>937.81</t>
  </si>
  <si>
    <t>Monthly distribution charge payable per sub meter</t>
  </si>
  <si>
    <t>7.6</t>
  </si>
  <si>
    <t>8.86</t>
  </si>
  <si>
    <t>9.39</t>
  </si>
  <si>
    <t>9.96</t>
  </si>
  <si>
    <t>10.55</t>
  </si>
  <si>
    <t>Repairing leaks in water installations on the property or domestic customers where the account is more than six days in arrears and where the average daily water consumption exceeds two kilolitres per day as a result of water leaks.</t>
  </si>
  <si>
    <t>343.6</t>
  </si>
  <si>
    <t>364.21</t>
  </si>
  <si>
    <t>386.07</t>
  </si>
  <si>
    <t>Provision /Printing /Posting of copy water accounts per account</t>
  </si>
  <si>
    <t>5.3</t>
  </si>
  <si>
    <t>6.17</t>
  </si>
  <si>
    <t>6.79</t>
  </si>
  <si>
    <t>For any other service where tariff is not spend</t>
  </si>
  <si>
    <t>This Policy shall come into effect on the date of endorsement and shall cease only in the event where such changes/variations has been reduced to writing, approved by council and been signed by the Speaker. Unless in the event where any changes in any applicable Act, Legistlation has jurisdiction to supersede.</t>
  </si>
  <si>
    <t>_____________</t>
  </si>
  <si>
    <t>For or on behalf of the municipality</t>
  </si>
  <si>
    <t>As a witness for the Municipality</t>
  </si>
  <si>
    <t>__________________________________________</t>
  </si>
  <si>
    <t>________________________________</t>
  </si>
  <si>
    <t>Date:__________________________</t>
  </si>
  <si>
    <t>Date:______________________________</t>
  </si>
  <si>
    <t>Summary of costs 17/18</t>
  </si>
  <si>
    <t>COST</t>
  </si>
  <si>
    <t>AMOUNT</t>
  </si>
  <si>
    <t>PERCENTAGE</t>
  </si>
  <si>
    <t>Depreciation of Assets:</t>
  </si>
  <si>
    <t xml:space="preserve">    Pump stations</t>
  </si>
  <si>
    <t xml:space="preserve">    WTW - Water treatment works</t>
  </si>
  <si>
    <t xml:space="preserve">    Water network (distribution pipes, bulk mains)</t>
  </si>
  <si>
    <t xml:space="preserve">    Water Supply (boreholes, Reservoirs)</t>
  </si>
  <si>
    <t xml:space="preserve">    </t>
  </si>
  <si>
    <t>Repairs &amp; Maintenance (AFS)</t>
  </si>
  <si>
    <t>Chemicals (AFS)</t>
  </si>
  <si>
    <t>Collection costs (AFS)</t>
  </si>
  <si>
    <t xml:space="preserve">Salaries </t>
  </si>
  <si>
    <t>Bulk purchases</t>
  </si>
  <si>
    <t>TOTAL OPERATING COSTS</t>
  </si>
  <si>
    <t>Less: Operational grants for water services ( indigents)</t>
  </si>
  <si>
    <t>Net total operating costs</t>
  </si>
  <si>
    <t>Water in Kilolitres</t>
  </si>
  <si>
    <t>Bulk purchases from Lepelle (kl)</t>
  </si>
  <si>
    <t>Bulkpurchases from DR JS Moroka (kl)</t>
  </si>
  <si>
    <t>Cost per kilo litre</t>
  </si>
  <si>
    <t>ANNEXURE I PART 1</t>
  </si>
  <si>
    <t xml:space="preserve">In terms of Section 10G(7)(e) of the Local Government Transition Act, 1993 (Act 209 of 1993) as amended, </t>
  </si>
  <si>
    <t xml:space="preserve">it is hereby notified that the Sekhukhune District Municipality has, </t>
  </si>
  <si>
    <t xml:space="preserve">in terms of Section 11 (3) (1) and 75 A (1) and (2) of the Local Government; </t>
  </si>
  <si>
    <t xml:space="preserve"> Municipal Systems Act, 2000 (Act 32 of 2000) as amended read with</t>
  </si>
  <si>
    <t xml:space="preserve"> Section 10 G (7)(a)(ii) and (b)(ii) of the Local Government Transition Act, 1993 (Act 209 of 1993) as amended, </t>
  </si>
  <si>
    <t>amended its Tariff of Charges in respect of the</t>
  </si>
  <si>
    <t xml:space="preserve"> By-laws relating to Licenses and Business Control with effect from 1 July 2010.</t>
  </si>
  <si>
    <r>
      <t>The following charges will be effective from the 1</t>
    </r>
    <r>
      <rPr>
        <b/>
        <vertAlign val="superscript"/>
        <sz val="10"/>
        <color theme="1"/>
        <rFont val="Arial"/>
        <family val="2"/>
      </rPr>
      <t xml:space="preserve">st </t>
    </r>
    <r>
      <rPr>
        <b/>
        <sz val="10"/>
        <color theme="1"/>
        <rFont val="Arial"/>
        <family val="2"/>
      </rPr>
      <t>July 2024.</t>
    </r>
  </si>
  <si>
    <t>DESCRIPTION OF SERVICE</t>
  </si>
  <si>
    <t>TARIFFS</t>
  </si>
  <si>
    <t xml:space="preserve">Percentage </t>
  </si>
  <si>
    <t>Percentage</t>
  </si>
  <si>
    <t>Incriment</t>
  </si>
  <si>
    <t>Amount</t>
  </si>
  <si>
    <t>Increment</t>
  </si>
  <si>
    <t>1.  VEHICLE AND EQUIPMENT CHARGES</t>
  </si>
  <si>
    <t xml:space="preserve">a.  Fire appliance or specialist vehicle per hour or part thereof, for any type   </t>
  </si>
  <si>
    <t xml:space="preserve">     of call out incident.</t>
  </si>
  <si>
    <t>b.  Service vehicle per hour or part thereof, for any callout incident.</t>
  </si>
  <si>
    <t>R131.89</t>
  </si>
  <si>
    <t xml:space="preserve">c.  Fire appliance or specialized vehicle hired out for any purpose other   </t>
  </si>
  <si>
    <t xml:space="preserve">     than incident attendance per hour or part thereof (Pre-contracted and  </t>
  </si>
  <si>
    <t xml:space="preserve">     paid in advance).</t>
  </si>
  <si>
    <t xml:space="preserve">d.  Service vehicle hired out for any purpose other than incident  </t>
  </si>
  <si>
    <t>R173.03</t>
  </si>
  <si>
    <t xml:space="preserve">     attendance, per hour or part thereof (pre-contracted and paid in  </t>
  </si>
  <si>
    <t xml:space="preserve">     advance).</t>
  </si>
  <si>
    <t xml:space="preserve">e.  Equipment of a general or specialized nature hired out for any purpose </t>
  </si>
  <si>
    <t>R82.28</t>
  </si>
  <si>
    <t>6,24,9%</t>
  </si>
  <si>
    <t xml:space="preserve">     other than incident attendance per hour or part thereof , per item (Pre-</t>
  </si>
  <si>
    <t xml:space="preserve">     contracted and paid in advance).</t>
  </si>
  <si>
    <t>f.  Recharging of compressed air cylinders paid in advance.</t>
  </si>
  <si>
    <t>R54.45</t>
  </si>
  <si>
    <t xml:space="preserve">g.  Rendering of lecture/recreation facilities per day or part thereof paid in </t>
  </si>
  <si>
    <t>R943.80</t>
  </si>
  <si>
    <t xml:space="preserve">     advance.</t>
  </si>
  <si>
    <t>2.  PERSONNEL CHARGES</t>
  </si>
  <si>
    <t xml:space="preserve">a.  Officers and staff at any type of callout incident including standby duties </t>
  </si>
  <si>
    <t xml:space="preserve">     per person, per hour or part thereof.</t>
  </si>
  <si>
    <t xml:space="preserve">b.  Officers and staff required in attendance i.r.o. hired out vehicles and/or </t>
  </si>
  <si>
    <t xml:space="preserve">     equipment per person, per hour or part thereof (Pre-contracted and </t>
  </si>
  <si>
    <t xml:space="preserve">     paid in advanced).</t>
  </si>
  <si>
    <t xml:space="preserve">c.  Consultation fees for professional services i.r.o. Disaster Management, </t>
  </si>
  <si>
    <t>R245.63</t>
  </si>
  <si>
    <t xml:space="preserve">     Pier and Fire Safety per hour or part thereof.</t>
  </si>
  <si>
    <t>a.  Costs of all materials used plus 10 % as an administration charge.</t>
  </si>
  <si>
    <t>b.  Traveling costs according to AA Tariffs</t>
  </si>
  <si>
    <t>4.  DOCUMENTS</t>
  </si>
  <si>
    <t xml:space="preserve">a.  Incident reports on request (All incident types, fire, special service etc.  </t>
  </si>
  <si>
    <t xml:space="preserve">     Reprint or duplicate of original as may be indicated, paid in advance).</t>
  </si>
  <si>
    <t xml:space="preserve">b.  Post-incident report on request (All incident types, paid in advance).  If </t>
  </si>
  <si>
    <t>R118.58</t>
  </si>
  <si>
    <t xml:space="preserve">     report is less than one year old.</t>
  </si>
  <si>
    <t xml:space="preserve">c.  Post-incident report on request (All incident types, paid in advance).  If  </t>
  </si>
  <si>
    <t>R318.23</t>
  </si>
  <si>
    <t xml:space="preserve">     the report is older than one year. </t>
  </si>
  <si>
    <t>ANNEXURE I PART 2</t>
  </si>
  <si>
    <t>Outside the Sekhukhune District Municipality will be determined by the Service Level Agreements.</t>
  </si>
  <si>
    <t>ANNEXURE I PART 3</t>
  </si>
  <si>
    <t>Tarrifs</t>
  </si>
  <si>
    <t>5.  FLAMMABLE SUBSTANCES AND DANGEROUS GOODS – ANNUAL REGISTRATIONS</t>
  </si>
  <si>
    <t>a.  Inspection and issue of a Registration certificate per premises</t>
  </si>
  <si>
    <t>1.  Bulk flammable liquids storage</t>
  </si>
  <si>
    <t>171 - 800 Kiloliter</t>
  </si>
  <si>
    <t>801 – 1600 Kiloliter</t>
  </si>
  <si>
    <t>1601 – 2400 Kiloliter</t>
  </si>
  <si>
    <t>2401 – 3200 Kiloliter</t>
  </si>
  <si>
    <t>3201 – 4000 Kiloliter</t>
  </si>
  <si>
    <t>4001 – 4800 Kiloliter</t>
  </si>
  <si>
    <t>4801 – 6000 Kiloliter</t>
  </si>
  <si>
    <t>6001 – Kiloliter and above</t>
  </si>
  <si>
    <t>2.  Bulk Liquefied Petroleum Gas (Class 0)</t>
  </si>
  <si>
    <t>81 – 100 Kiloliter</t>
  </si>
  <si>
    <t>101 – 150 Kiloliter</t>
  </si>
  <si>
    <t>151 – 200 Kiloliter</t>
  </si>
  <si>
    <t>201 – 250 Kiloliter</t>
  </si>
  <si>
    <t>251 – 300 Kiloliter</t>
  </si>
  <si>
    <t>301 Kiloliter and above</t>
  </si>
  <si>
    <t>b.  Spray Booth/Spray Room – Minimum fee</t>
  </si>
  <si>
    <t>R399.30</t>
  </si>
  <si>
    <r>
      <t>-</t>
    </r>
    <r>
      <rPr>
        <sz val="7"/>
        <color theme="1"/>
        <rFont val="Times New Roman"/>
        <family val="1"/>
      </rPr>
      <t xml:space="preserve">       </t>
    </r>
    <r>
      <rPr>
        <sz val="10"/>
        <color theme="1"/>
        <rFont val="Arial"/>
        <family val="2"/>
      </rPr>
      <t>For the first Spray Booth/Spray Room</t>
    </r>
  </si>
  <si>
    <t>R209.33</t>
  </si>
  <si>
    <r>
      <t>-</t>
    </r>
    <r>
      <rPr>
        <sz val="7"/>
        <color theme="1"/>
        <rFont val="Times New Roman"/>
        <family val="1"/>
      </rPr>
      <t xml:space="preserve">       </t>
    </r>
    <r>
      <rPr>
        <sz val="10"/>
        <color theme="1"/>
        <rFont val="Arial"/>
        <family val="2"/>
      </rPr>
      <t>For each subsequent Spray Booth/Spray Room an additional</t>
    </r>
  </si>
  <si>
    <t>R72.60</t>
  </si>
  <si>
    <t>Premises with Flammable Liquid Store and Spray Booth/Spray Room</t>
  </si>
  <si>
    <t>The tariff for Flammable Liquids will apply plus R_______per Spray Booth/Spray Room.</t>
  </si>
  <si>
    <t>Maximum amount chargeable</t>
  </si>
  <si>
    <t>R740.52</t>
  </si>
  <si>
    <t>c.  The storage, handling and use</t>
  </si>
  <si>
    <t>1.  Liquefied Petroleum Gas (Class 0)</t>
  </si>
  <si>
    <t>0 – 800 Liters</t>
  </si>
  <si>
    <t>801 – 1200 Liters</t>
  </si>
  <si>
    <t>R427.13</t>
  </si>
  <si>
    <t>1201 – 3000 Liters</t>
  </si>
  <si>
    <t>R536.03</t>
  </si>
  <si>
    <t>3001 – 9000 Liters</t>
  </si>
  <si>
    <t>R608.63</t>
  </si>
  <si>
    <t>9001 – 67500 Liters</t>
  </si>
  <si>
    <t>R676.39</t>
  </si>
  <si>
    <t>67501 – 800000 Liters</t>
  </si>
  <si>
    <t>R735.68</t>
  </si>
  <si>
    <t>2.  Flammable Liquids (Class 1, 2, 3)</t>
  </si>
  <si>
    <t>0 – 1500 Liters</t>
  </si>
  <si>
    <t>R395.67</t>
  </si>
  <si>
    <t>1501 – 3000 Liters</t>
  </si>
  <si>
    <t>R463.43</t>
  </si>
  <si>
    <t>R526.35</t>
  </si>
  <si>
    <t>9001 – 23000 Liters</t>
  </si>
  <si>
    <t>R598.95</t>
  </si>
  <si>
    <t>23001 – 46000 Liters</t>
  </si>
  <si>
    <t>46001 Liters – 170 Kiloliters</t>
  </si>
  <si>
    <t xml:space="preserve">d.  Restoration of lapsed registration certificate-fee for each year that  </t>
  </si>
  <si>
    <t xml:space="preserve">     registration certificate were not renewed, plus current registration </t>
  </si>
  <si>
    <t xml:space="preserve">     fees</t>
  </si>
  <si>
    <t>e.  Inspection of Vehicle and issuing of Transport Permit (Dangerous Goods)</t>
  </si>
  <si>
    <t>1.  Flammable Liquids</t>
  </si>
  <si>
    <t>0 - 1500 Liters</t>
  </si>
  <si>
    <t>46001 Liters and above</t>
  </si>
  <si>
    <t>R744.15</t>
  </si>
  <si>
    <t>2.  Hazardous Substances</t>
  </si>
  <si>
    <t>0 – 500 kilogram</t>
  </si>
  <si>
    <t>501 – 1500 kilogram</t>
  </si>
  <si>
    <t>1501 – 3000 kilogram</t>
  </si>
  <si>
    <t>3001 – 5000 kilogram</t>
  </si>
  <si>
    <t>5001 – 9000 kilogram</t>
  </si>
  <si>
    <t>R663.08</t>
  </si>
  <si>
    <t>9001 – and above</t>
  </si>
  <si>
    <t xml:space="preserve">f.  Restoration of lapsed transport permit-fee for each year that </t>
  </si>
  <si>
    <t xml:space="preserve">    transport permit were not renewed plus current fees.</t>
  </si>
  <si>
    <t>ANNEXURE I PART 4</t>
  </si>
  <si>
    <t>The following charges will be effective from the 1 July 2024.</t>
  </si>
  <si>
    <t xml:space="preserve">Tariffs </t>
  </si>
  <si>
    <t>increment</t>
  </si>
  <si>
    <t>6.  PLAN APPROVAL</t>
  </si>
  <si>
    <t>a.  Flammable Liquids and Hazardous Substances</t>
  </si>
  <si>
    <t>0 - 800 liters</t>
  </si>
  <si>
    <t>801 – 1200 liters</t>
  </si>
  <si>
    <t>1201 – 3000 liters</t>
  </si>
  <si>
    <t>R154.88</t>
  </si>
  <si>
    <t>3001 – 9000 liters</t>
  </si>
  <si>
    <t>R196.02</t>
  </si>
  <si>
    <t>9001 – 67500 liters</t>
  </si>
  <si>
    <t>R232.32</t>
  </si>
  <si>
    <t>67501 – and above</t>
  </si>
  <si>
    <t>R272.25</t>
  </si>
  <si>
    <t>0 – 1500 liters</t>
  </si>
  <si>
    <t>1501 – 3000 liters</t>
  </si>
  <si>
    <t>9001 – 23000 liters</t>
  </si>
  <si>
    <t>23001 – 46000 liters</t>
  </si>
  <si>
    <t>46001 liters – 170 kiloliters</t>
  </si>
  <si>
    <t>R263.78</t>
  </si>
  <si>
    <t xml:space="preserve">3.  Flammable Liquid Store and Spray Booth/Spray Room  Per Square meter Minimum   </t>
  </si>
  <si>
    <t xml:space="preserve">     fee R225.00</t>
  </si>
  <si>
    <t>4.  Pre-inspection before submitting plans (Consultancy)</t>
  </si>
  <si>
    <t>R254.10</t>
  </si>
  <si>
    <t>b.  Rational Designs and Building Plans</t>
  </si>
  <si>
    <t xml:space="preserve">1.  Building Plans  </t>
  </si>
  <si>
    <t>a.  1 – 10000m²  per square meter @</t>
  </si>
  <si>
    <t>b.  10001 – 15000m² per square meter @</t>
  </si>
  <si>
    <t>c.  15001 -  20000m² per square meter @</t>
  </si>
  <si>
    <t>d.  20001 – 25000m² per square meter @</t>
  </si>
  <si>
    <t>e.  25001 – 30000m² per square meter @</t>
  </si>
  <si>
    <t>f.  30001 – 35000m² per square meter @</t>
  </si>
  <si>
    <t>g.  35001 – 40000m² per square meter @</t>
  </si>
  <si>
    <t>h.  40001 – 45000m² per square meter @</t>
  </si>
  <si>
    <t>i.  45001 – 50000m² per square meter @</t>
  </si>
  <si>
    <t>j.  50001 – and above m² per square meter @</t>
  </si>
  <si>
    <t>2.  Rational Designs</t>
  </si>
  <si>
    <t>a.  1 – 10000m² per square meter @</t>
  </si>
  <si>
    <t>c.  15001 – 20000m² per square meter @</t>
  </si>
  <si>
    <t>f.  30001 – 350000m² per square meter @</t>
  </si>
  <si>
    <t>j.  45001 – 50000m² per square meter @</t>
  </si>
  <si>
    <t>k.  50001 – and above m² per square meter @</t>
  </si>
  <si>
    <t>3.  Site Development Plan</t>
  </si>
  <si>
    <t>R169.40</t>
  </si>
  <si>
    <t>4.  Partition Layout Plan per Floor or Tenant</t>
  </si>
  <si>
    <t xml:space="preserve">5.  Assessment and stamping of additional sets as previously  </t>
  </si>
  <si>
    <t xml:space="preserve">     Approved</t>
  </si>
  <si>
    <t>a.  Building Plans</t>
  </si>
  <si>
    <t>b.  Rational Design</t>
  </si>
  <si>
    <t>c.  Site Development</t>
  </si>
  <si>
    <t>TARIFFS  2013/2014</t>
  </si>
  <si>
    <t>Percentage Increment</t>
  </si>
  <si>
    <t>Percentage Amount</t>
  </si>
  <si>
    <t>TARIFFS 2016/2017</t>
  </si>
  <si>
    <t>6.  Consultancy fees – discussions rate per hour or part thereof</t>
  </si>
  <si>
    <t>7.  Charges for inspection (rate per hour or part thereof)</t>
  </si>
  <si>
    <t>7.1  Inspection</t>
  </si>
  <si>
    <t>a.  General inspection requested</t>
  </si>
  <si>
    <t>R163.35</t>
  </si>
  <si>
    <t>b.  Fire Works Display/Storage</t>
  </si>
  <si>
    <t>R168.19</t>
  </si>
  <si>
    <t>c.  Trade Licenses</t>
  </si>
  <si>
    <t>d.  Warehouses/storage of dangerous goods internal or external</t>
  </si>
  <si>
    <t>7.2  Additional Inspection (Rate per hour or part thereof)</t>
  </si>
  <si>
    <t xml:space="preserve">a.  Building Inspection </t>
  </si>
  <si>
    <t>e.  Flammable Substances and Dangerous Goods</t>
  </si>
  <si>
    <t>f.  Certificate of fitness</t>
  </si>
  <si>
    <t>8.  Certificate for fitness – Permanent and Temporarily Structure</t>
  </si>
  <si>
    <t>a.  Public attendance</t>
  </si>
  <si>
    <t>1 – 1000</t>
  </si>
  <si>
    <t>R308.55</t>
  </si>
  <si>
    <t>1001 – 5000</t>
  </si>
  <si>
    <t>R408.98</t>
  </si>
  <si>
    <t xml:space="preserve">5001 – 10000 </t>
  </si>
  <si>
    <t>R517.88</t>
  </si>
  <si>
    <t>10001 - 30000</t>
  </si>
  <si>
    <t>R617.10</t>
  </si>
  <si>
    <t>30001 – 50000</t>
  </si>
  <si>
    <t>R722.37</t>
  </si>
  <si>
    <t>50001 – 100000</t>
  </si>
  <si>
    <t>R826.43</t>
  </si>
  <si>
    <t>100001 – and above</t>
  </si>
  <si>
    <t>R1030.92</t>
  </si>
  <si>
    <t>ANNEXURE I PART 5</t>
  </si>
  <si>
    <t xml:space="preserve"> relating to Licenses and Business Control with effect from 1 July 2024.</t>
  </si>
  <si>
    <t>7.TRAINING ACADEMY</t>
  </si>
  <si>
    <t>CATEGORY A</t>
  </si>
  <si>
    <t>Duration</t>
  </si>
  <si>
    <t>Per Person</t>
  </si>
  <si>
    <t xml:space="preserve">1.Fire Awareness Session                                                                           </t>
  </si>
  <si>
    <t>(1 Day)</t>
  </si>
  <si>
    <t>2.Breathing Apparatus(Donning and Doffing)</t>
  </si>
  <si>
    <t>(5 Days)</t>
  </si>
  <si>
    <t xml:space="preserve">3.Workplace fire fighting and Evacuation                                             </t>
  </si>
  <si>
    <t>2 Days)</t>
  </si>
  <si>
    <t xml:space="preserve">4.Wildland Fire Fighting                                                                            </t>
  </si>
  <si>
    <t xml:space="preserve">5. First Aid Level One                                                                                </t>
  </si>
  <si>
    <t>(2 Days)</t>
  </si>
  <si>
    <t xml:space="preserve">6.Industrial Fire Fighting Elementary                                                     </t>
  </si>
  <si>
    <t>2012/13</t>
  </si>
  <si>
    <t>CATEGORY  B(One week to a month)</t>
  </si>
  <si>
    <t xml:space="preserve">1.First Aid Level Three                                                                    </t>
  </si>
  <si>
    <t>5 Days</t>
  </si>
  <si>
    <t xml:space="preserve">2.High Angle  one course                                                                </t>
  </si>
  <si>
    <t>7 Days</t>
  </si>
  <si>
    <t xml:space="preserve">3.High Angle two course                                                                </t>
  </si>
  <si>
    <t>14 Days</t>
  </si>
  <si>
    <t xml:space="preserve">4.Motor Vehicle Rescue course                                                     </t>
  </si>
  <si>
    <t xml:space="preserve">5.Pump Operator course                                                                </t>
  </si>
  <si>
    <t>21 Days</t>
  </si>
  <si>
    <t xml:space="preserve">6.Incident Command Course                                                          </t>
  </si>
  <si>
    <t>10 Days</t>
  </si>
  <si>
    <t xml:space="preserve">3.Hazmat Awareness                                            </t>
  </si>
  <si>
    <t>4.Hazmat Operational(10 days)</t>
  </si>
  <si>
    <t>CATEGORY C (Six months)</t>
  </si>
  <si>
    <t>Per person</t>
  </si>
  <si>
    <t>Percentage increment</t>
  </si>
  <si>
    <r>
      <t>1.Fire Fighter one and Hazmat Awareness and 1</t>
    </r>
    <r>
      <rPr>
        <vertAlign val="superscript"/>
        <sz val="10"/>
        <color theme="1"/>
        <rFont val="Arial"/>
        <family val="2"/>
      </rPr>
      <t>st</t>
    </r>
    <r>
      <rPr>
        <sz val="10"/>
        <color theme="1"/>
        <rFont val="Arial"/>
        <family val="2"/>
      </rPr>
      <t xml:space="preserve"> Aid level3(13 weeks)</t>
    </r>
  </si>
  <si>
    <t>2.Fire Fighter Two and Operational(6 Weeks)</t>
  </si>
  <si>
    <t>CATEGORY D ( Learner ship)(12 months)</t>
  </si>
  <si>
    <t xml:space="preserve">1.  Further Education and Training Certificate: Fire and Rescue    </t>
  </si>
  <si>
    <t>Operations</t>
  </si>
  <si>
    <t>SELF CATERING ACCOMODATION</t>
  </si>
  <si>
    <t>1.Category A Courses  per day</t>
  </si>
  <si>
    <t>2.Categoty B Courses per day</t>
  </si>
  <si>
    <t>3.Category C Courses per day</t>
  </si>
  <si>
    <t>4.Category D Courses per day</t>
  </si>
  <si>
    <t>Included</t>
  </si>
  <si>
    <t>UTILIZATION OF TRAINING FACILITY</t>
  </si>
  <si>
    <t>1.Lecture Rooms per day</t>
  </si>
  <si>
    <t>2.Training Equipment/Learning Material Per day</t>
  </si>
  <si>
    <t>3.Instructor per day</t>
  </si>
  <si>
    <t>4.Training Simulators per day</t>
  </si>
  <si>
    <t>For or on behalf of the Municipality</t>
  </si>
  <si>
    <t>As a witness of the Municplaity</t>
  </si>
  <si>
    <t>_____________________________</t>
  </si>
  <si>
    <t>Date:__________________</t>
  </si>
  <si>
    <t>Date:_____________________________</t>
  </si>
  <si>
    <t xml:space="preserve">Amount </t>
  </si>
  <si>
    <t xml:space="preserve">Waste transportation permit </t>
  </si>
  <si>
    <t>Certificate of acceptability per unit</t>
  </si>
  <si>
    <t>Health Certificates</t>
  </si>
  <si>
    <t>Accommodation</t>
  </si>
  <si>
    <t xml:space="preserve">Other </t>
  </si>
  <si>
    <t>Certificate of Competency</t>
  </si>
  <si>
    <t xml:space="preserve">Exhumation </t>
  </si>
  <si>
    <t xml:space="preserve">Reburial </t>
  </si>
  <si>
    <t xml:space="preserve">Atmospheric Emission Licence </t>
  </si>
  <si>
    <t>Regulations prescribing the atmospheric emission</t>
  </si>
  <si>
    <t>licence processing fee.</t>
  </si>
  <si>
    <t>_____________________</t>
  </si>
  <si>
    <t>Date: ____________________</t>
  </si>
  <si>
    <t>Community Services</t>
  </si>
  <si>
    <t>Municipal Health Services</t>
  </si>
  <si>
    <t>SECTION 56 FINE SCHEDULES</t>
  </si>
  <si>
    <t>SEKHUKHUNE DISTRICT MUNICIPALITY: MUNICIPAL HEALTH BY-LAW</t>
  </si>
  <si>
    <t>Waste-By law</t>
  </si>
  <si>
    <t>Section</t>
  </si>
  <si>
    <t>Fine</t>
  </si>
  <si>
    <t>25(1)(a)</t>
  </si>
  <si>
    <t>Failure to register with the municipality to transport waste or without a valid waste transportation permit</t>
  </si>
  <si>
    <t>25(2)</t>
  </si>
  <si>
    <t>Failure to take reasonable steps to prevent spillage of waste or littering while transporting waste on the road</t>
  </si>
  <si>
    <t>25(2)(b)</t>
  </si>
  <si>
    <t>Failure to inform the municipality of the type of waste transported</t>
  </si>
  <si>
    <t>25(3)</t>
  </si>
  <si>
    <t>Failure to ensure that the facility is authorised to accept waste before offloading</t>
  </si>
  <si>
    <t>25(4)</t>
  </si>
  <si>
    <t>Failure to ensure that the facility is authorised to accept hazardous waste before off-loading of hazardous waste</t>
  </si>
  <si>
    <t>26(1)(a)</t>
  </si>
  <si>
    <t>Prohibition to dispose waste on land and in water bodies</t>
  </si>
  <si>
    <t>26(1)(b)</t>
  </si>
  <si>
    <t>Prohibition to dispose waste in manner that causes pollution in the environment, public health and welling being</t>
  </si>
  <si>
    <t>27(1)(a)</t>
  </si>
  <si>
    <t>Failure to provide refuse containers for public on private</t>
  </si>
  <si>
    <t>27(1)(b)</t>
  </si>
  <si>
    <t>Failure to dispose litter before it causes nuisance</t>
  </si>
  <si>
    <t>27(2)(a)</t>
  </si>
  <si>
    <t>Throwing, dropping, disposing, spilling or in any way discarding litter into or onto any public space or vacant land</t>
  </si>
  <si>
    <t>27(2)(b)</t>
  </si>
  <si>
    <t>Allowing any person to litter</t>
  </si>
  <si>
    <t>Air Quality Management- By Law</t>
  </si>
  <si>
    <t>15.3</t>
  </si>
  <si>
    <t>Emitting dark smoke or failing the test according to the diesel vehicle testing machine</t>
  </si>
  <si>
    <t>Burning of any tyres or rubber products</t>
  </si>
  <si>
    <t>Burning of waste and area where waste management services are provided</t>
  </si>
  <si>
    <t xml:space="preserve">Unauthorized open agricultural burning </t>
  </si>
  <si>
    <t>Pesticides spraying without a permit</t>
  </si>
  <si>
    <t>Spray painting without a permit</t>
  </si>
  <si>
    <t>24(2)</t>
  </si>
  <si>
    <t>Operating a small boiler without a permit</t>
  </si>
  <si>
    <t>24(1)</t>
  </si>
  <si>
    <t>Install, alter, extend or replace any small boiler on any premises without the prior written authorisation</t>
  </si>
  <si>
    <t>Causing a disturbing noise, or allowing it to be caused by any person, animal, machine, device, vehicle, recreational vehicle, apparatus or any combination thereof</t>
  </si>
  <si>
    <t>Childcare facilities- By Law</t>
  </si>
  <si>
    <t>4(1)</t>
  </si>
  <si>
    <t>Allowing childcare premise to operate without a Certificate</t>
  </si>
  <si>
    <t>4(6)</t>
  </si>
  <si>
    <t>Allowing childcare premise to operate without a Certificate of Acceptability in respect of the childcare service.</t>
  </si>
  <si>
    <t>5(1)</t>
  </si>
  <si>
    <r>
      <t>All structures on the premises of any childcare service for children under compulsory school-going age must comply with the requirements of the</t>
    </r>
    <r>
      <rPr>
        <b/>
        <sz val="11"/>
        <color theme="1"/>
        <rFont val="LiberationSans-Bold"/>
      </rPr>
      <t xml:space="preserve"> National Building Regulations</t>
    </r>
    <r>
      <rPr>
        <sz val="11"/>
        <color theme="1"/>
        <rFont val="Arial"/>
        <family val="2"/>
      </rPr>
      <t>.</t>
    </r>
  </si>
  <si>
    <t>8(a)</t>
  </si>
  <si>
    <r>
      <t>Operating a childcare premises without</t>
    </r>
    <r>
      <rPr>
        <sz val="11"/>
        <color theme="1"/>
        <rFont val="Calibri"/>
        <family val="2"/>
        <scheme val="minor"/>
      </rPr>
      <t xml:space="preserve"> </t>
    </r>
    <r>
      <rPr>
        <sz val="11"/>
        <color theme="1"/>
        <rFont val="Arial"/>
        <family val="2"/>
      </rPr>
      <t>approved separate</t>
    </r>
  </si>
  <si>
    <t xml:space="preserve">screened-off area for toilets and wash facilities for children from the age of three years to compulsory school-going age </t>
  </si>
  <si>
    <t>8(aa)</t>
  </si>
  <si>
    <t>Operation a child care premises without washbasins or a suitable container for  every 20 children for hand washing</t>
  </si>
  <si>
    <t>Operating a childcare premises without must have an approved enclosure (fence and lockable gate)</t>
  </si>
  <si>
    <t>2027/2028</t>
  </si>
  <si>
    <t xml:space="preserve"> DRAFT WATER ,SANITATION AND SUNDRY TARRIFS FOR 2025/2026 MTREF TARRIFS</t>
  </si>
  <si>
    <t>\</t>
  </si>
  <si>
    <t>2028/2029</t>
  </si>
  <si>
    <t>Water Tankers (per 10 000 litre tank)</t>
  </si>
  <si>
    <t>iii)Tankers</t>
  </si>
  <si>
    <t>Sucking (for 10 000 lt tank)</t>
  </si>
  <si>
    <t>Interest on outstanding amounts more than 90 days on simple interest</t>
  </si>
  <si>
    <t>Trade effluent from inside the jurisction per tanker (10 000 L tank)</t>
  </si>
  <si>
    <t>MUNICIPAL HEALTH TARIFFS 2026/27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</si>
</sst>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41" formatCode="_(* #,##0_);_(* \(#,##0\);_(* &quot;-&quot;_);_(@_)"/>
    <numFmt numFmtId="43" formatCode="_(* #,##0.00_);_(* \(#,##0.00\);_(* &quot;-&quot;??_);_(@_)"/>
    <numFmt numFmtId="164" formatCode="&quot;R&quot;#,##0;[Red]\-&quot;R&quot;#,##0"/>
    <numFmt numFmtId="165" formatCode="&quot;R&quot;#,##0.00;[Red]\-&quot;R&quot;#,##0.00"/>
    <numFmt numFmtId="166" formatCode="&quot;R&quot;\ #,##0.00;[Red]&quot;R&quot;\ \-#,##0.00"/>
    <numFmt numFmtId="167" formatCode="_ &quot;R&quot;\ * #,##0.00_ ;_ &quot;R&quot;\ * \-#,##0.00_ ;_ &quot;R&quot;\ * &quot;-&quot;??_ ;_ @_ "/>
    <numFmt numFmtId="168" formatCode="_ * #,##0.00_ ;_ * \-#,##0.00_ ;_ * &quot;-&quot;??_ ;_ @_ "/>
    <numFmt numFmtId="169" formatCode="_ &quot;R&quot;\ * #,##0.0000_ ;_ &quot;R&quot;\ * \-#,##0.0000_ ;_ &quot;R&quot;\ * &quot;-&quot;??_ ;_ @_ "/>
    <numFmt numFmtId="170" formatCode="_ &quot;R&quot;\ * #,##0_ ;_ &quot;R&quot;\ * \-#,##0_ ;_ &quot;R&quot;\ * &quot;-&quot;??_ ;_ @_ "/>
    <numFmt numFmtId="171" formatCode="_(&quot;R&quot;\ * #,##0.00_);_(&quot;R&quot;\ * \(#,##0.00\);_(&quot;R&quot;\ * &quot;-&quot;??_);_(@_)"/>
    <numFmt numFmtId="172" formatCode="&quot;R&quot;\ #,##0.00"/>
    <numFmt numFmtId="173" formatCode="0.000"/>
    <numFmt numFmtId="174" formatCode="0.0%"/>
    <numFmt numFmtId="175" formatCode="&quot;R&quot;\ #,##0;[Red]&quot;R&quot;\ \-#,##0"/>
    <numFmt numFmtId="176" formatCode="0.0"/>
    <numFmt numFmtId="177" formatCode="&quot;R&quot;#,##0.00"/>
    <numFmt numFmtId="178" formatCode="_-[$R-1C09]* #,##0.00_-;\-[$R-1C09]* #,##0.00_-;_-[$R-1C09]* &quot;-&quot;??_-;_-@_-"/>
  </numFmts>
  <fonts count="44">
    <font>
      <sz val="11"/>
      <color theme="1"/>
      <name val="Calibri"/>
      <family val="2"/>
      <scheme val="minor"/>
    </font>
    <font>
      <sz val="11"/>
      <color theme="1"/>
      <name val="Calibri"/>
      <family val="2"/>
      <scheme val="minor"/>
    </font>
    <font>
      <sz val="10"/>
      <name val="Arial"/>
      <family val="2"/>
    </font>
    <font>
      <b/>
      <sz val="20"/>
      <name val="Calibri"/>
      <family val="2"/>
      <scheme val="minor"/>
    </font>
    <font>
      <sz val="10"/>
      <name val="Calibri"/>
      <family val="2"/>
      <scheme val="minor"/>
    </font>
    <font>
      <b/>
      <sz val="14"/>
      <name val="Calibri"/>
      <family val="2"/>
      <scheme val="minor"/>
    </font>
    <font>
      <sz val="14"/>
      <name val="Calibri"/>
      <family val="2"/>
      <scheme val="minor"/>
    </font>
    <font>
      <b/>
      <sz val="10"/>
      <name val="Calibri"/>
      <family val="2"/>
      <scheme val="minor"/>
    </font>
    <font>
      <b/>
      <i/>
      <sz val="10"/>
      <name val="Calibri"/>
      <family val="2"/>
      <scheme val="minor"/>
    </font>
    <font>
      <sz val="10"/>
      <color indexed="8"/>
      <name val="Calibri"/>
      <family val="2"/>
      <scheme val="minor"/>
    </font>
    <font>
      <b/>
      <u/>
      <sz val="10"/>
      <name val="Calibri"/>
      <family val="2"/>
      <scheme val="minor"/>
    </font>
    <font>
      <sz val="10"/>
      <color theme="1"/>
      <name val="Calibri"/>
      <family val="2"/>
      <scheme val="minor"/>
    </font>
    <font>
      <b/>
      <sz val="10"/>
      <color theme="1"/>
      <name val="Calibri"/>
      <family val="2"/>
      <scheme val="minor"/>
    </font>
    <font>
      <b/>
      <i/>
      <u/>
      <sz val="10"/>
      <color theme="1"/>
      <name val="Calibri"/>
      <family val="2"/>
      <scheme val="minor"/>
    </font>
    <font>
      <sz val="10"/>
      <name val="Arial"/>
      <family val="2"/>
    </font>
    <font>
      <b/>
      <sz val="11"/>
      <color theme="1"/>
      <name val="Calibri"/>
      <family val="2"/>
      <scheme val="minor"/>
    </font>
    <font>
      <sz val="12"/>
      <name val="Calibri"/>
      <family val="2"/>
      <scheme val="minor"/>
    </font>
    <font>
      <b/>
      <sz val="12"/>
      <name val="Calibri"/>
      <family val="2"/>
      <scheme val="minor"/>
    </font>
    <font>
      <b/>
      <sz val="12"/>
      <color theme="1"/>
      <name val="Calibri"/>
      <family val="2"/>
      <scheme val="minor"/>
    </font>
    <font>
      <b/>
      <sz val="14"/>
      <color theme="1"/>
      <name val="Calibri"/>
      <family val="2"/>
      <scheme val="minor"/>
    </font>
    <font>
      <sz val="14"/>
      <color theme="1"/>
      <name val="Calibri"/>
      <family val="2"/>
      <scheme val="minor"/>
    </font>
    <font>
      <sz val="12"/>
      <color theme="1"/>
      <name val="Calibri"/>
      <family val="2"/>
      <scheme val="minor"/>
    </font>
    <font>
      <b/>
      <sz val="11"/>
      <name val="Calibri"/>
      <family val="2"/>
      <scheme val="minor"/>
    </font>
    <font>
      <b/>
      <sz val="10"/>
      <name val="Arial"/>
      <family val="2"/>
    </font>
    <font>
      <b/>
      <sz val="18"/>
      <name val="Calibri"/>
      <family val="2"/>
      <scheme val="minor"/>
    </font>
    <font>
      <b/>
      <sz val="10"/>
      <color rgb="FFFF0000"/>
      <name val="Arial"/>
      <family val="2"/>
    </font>
    <font>
      <b/>
      <sz val="10"/>
      <color theme="1"/>
      <name val="Arial"/>
      <family val="2"/>
    </font>
    <font>
      <b/>
      <vertAlign val="superscript"/>
      <sz val="10"/>
      <color theme="1"/>
      <name val="Arial"/>
      <family val="2"/>
    </font>
    <font>
      <sz val="10"/>
      <color theme="1"/>
      <name val="Arial"/>
      <family val="2"/>
    </font>
    <font>
      <sz val="7"/>
      <color theme="1"/>
      <name val="Times New Roman"/>
      <family val="1"/>
    </font>
    <font>
      <vertAlign val="superscript"/>
      <sz val="10"/>
      <color theme="1"/>
      <name val="Arial"/>
      <family val="2"/>
    </font>
    <font>
      <sz val="11"/>
      <color rgb="FF000000"/>
      <name val="Calibri"/>
      <family val="2"/>
      <scheme val="minor"/>
    </font>
    <font>
      <b/>
      <i/>
      <sz val="10"/>
      <color theme="1"/>
      <name val="Calibri"/>
      <family val="2"/>
      <scheme val="minor"/>
    </font>
    <font>
      <sz val="8"/>
      <name val="Calibri"/>
      <family val="2"/>
      <scheme val="minor"/>
    </font>
    <font>
      <sz val="14"/>
      <color theme="1"/>
      <name val="Arial"/>
      <family val="2"/>
    </font>
    <font>
      <b/>
      <sz val="14"/>
      <color theme="1"/>
      <name val="Arial"/>
      <family val="2"/>
    </font>
    <font>
      <b/>
      <sz val="11"/>
      <color theme="1"/>
      <name val="Arial"/>
      <family val="2"/>
    </font>
    <font>
      <sz val="11"/>
      <color theme="1"/>
      <name val="Arial"/>
      <family val="2"/>
    </font>
    <font>
      <b/>
      <sz val="22"/>
      <color theme="1"/>
      <name val="Arial"/>
      <family val="2"/>
    </font>
    <font>
      <b/>
      <sz val="11"/>
      <color theme="1"/>
      <name val="LiberationSans-Bold"/>
    </font>
    <font>
      <b/>
      <sz val="12"/>
      <color theme="1"/>
      <name val="Calibri"/>
      <family val="2"/>
    </font>
    <font>
      <b/>
      <sz val="14"/>
      <color theme="1"/>
      <name val="Calibri"/>
      <family val="2"/>
    </font>
    <font>
      <sz val="12"/>
      <color theme="1"/>
      <name val="Calibri"/>
      <family val="2"/>
    </font>
    <font>
      <sz val="11"/>
      <name val="Calibri"/>
      <family val="2"/>
      <scheme val="minor"/>
    </font>
  </fonts>
  <fills count="11">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00"/>
        <bgColor indexed="64"/>
      </patternFill>
    </fill>
    <fill>
      <patternFill patternType="solid">
        <fgColor rgb="FF92D050"/>
        <bgColor indexed="64"/>
      </patternFill>
    </fill>
    <fill>
      <patternFill patternType="solid">
        <fgColor rgb="FFFFC000"/>
        <bgColor indexed="64"/>
      </patternFill>
    </fill>
    <fill>
      <patternFill patternType="solid">
        <fgColor theme="3" tint="0.59999389629810485"/>
        <bgColor indexed="64"/>
      </patternFill>
    </fill>
    <fill>
      <patternFill patternType="solid">
        <fgColor theme="9" tint="0.39997558519241921"/>
        <bgColor indexed="64"/>
      </patternFill>
    </fill>
    <fill>
      <patternFill patternType="solid">
        <fgColor theme="5" tint="-0.249977111117893"/>
        <bgColor indexed="64"/>
      </patternFill>
    </fill>
    <fill>
      <patternFill patternType="solid">
        <fgColor theme="3" tint="0.79998168889431442"/>
        <bgColor indexed="64"/>
      </patternFill>
    </fill>
  </fills>
  <borders count="97">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top style="medium">
        <color indexed="64"/>
      </top>
      <bottom style="thin">
        <color indexed="64"/>
      </bottom>
      <diagonal/>
    </border>
    <border>
      <left style="medium">
        <color indexed="64"/>
      </left>
      <right/>
      <top/>
      <bottom style="medium">
        <color indexed="64"/>
      </bottom>
      <diagonal/>
    </border>
    <border>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style="thin">
        <color indexed="64"/>
      </top>
      <bottom/>
      <diagonal/>
    </border>
    <border>
      <left style="thin">
        <color indexed="64"/>
      </left>
      <right/>
      <top/>
      <bottom/>
      <diagonal/>
    </border>
    <border>
      <left style="thin">
        <color indexed="64"/>
      </left>
      <right style="medium">
        <color indexed="64"/>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top/>
      <bottom style="double">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rgb="FF000000"/>
      </left>
      <right style="medium">
        <color rgb="FF000000"/>
      </right>
      <top style="medium">
        <color rgb="FF000000"/>
      </top>
      <bottom/>
      <diagonal/>
    </border>
    <border>
      <left/>
      <right/>
      <top style="medium">
        <color rgb="FF000000"/>
      </top>
      <bottom style="medium">
        <color indexed="64"/>
      </bottom>
      <diagonal/>
    </border>
    <border>
      <left style="medium">
        <color rgb="FF000000"/>
      </left>
      <right style="medium">
        <color rgb="FF000000"/>
      </right>
      <top/>
      <bottom/>
      <diagonal/>
    </border>
    <border>
      <left style="medium">
        <color rgb="FF000000"/>
      </left>
      <right/>
      <top/>
      <bottom/>
      <diagonal/>
    </border>
    <border>
      <left style="medium">
        <color rgb="FF000000"/>
      </left>
      <right style="medium">
        <color rgb="FF000000"/>
      </right>
      <top/>
      <bottom style="medium">
        <color rgb="FF000000"/>
      </bottom>
      <diagonal/>
    </border>
    <border>
      <left style="medium">
        <color rgb="FF000000"/>
      </left>
      <right/>
      <top/>
      <bottom style="medium">
        <color rgb="FF000000"/>
      </bottom>
      <diagonal/>
    </border>
    <border>
      <left/>
      <right/>
      <top/>
      <bottom style="medium">
        <color rgb="FF000000"/>
      </bottom>
      <diagonal/>
    </border>
    <border>
      <left style="medium">
        <color rgb="FF000000"/>
      </left>
      <right/>
      <top style="medium">
        <color rgb="FF000000"/>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style="medium">
        <color rgb="FF000000"/>
      </left>
      <right style="medium">
        <color indexed="64"/>
      </right>
      <top/>
      <bottom style="medium">
        <color rgb="FF000000"/>
      </bottom>
      <diagonal/>
    </border>
    <border>
      <left style="medium">
        <color rgb="FF000000"/>
      </left>
      <right/>
      <top style="medium">
        <color rgb="FF000000"/>
      </top>
      <bottom style="medium">
        <color indexed="64"/>
      </bottom>
      <diagonal/>
    </border>
    <border>
      <left style="medium">
        <color rgb="FF000000"/>
      </left>
      <right/>
      <top style="medium">
        <color indexed="64"/>
      </top>
      <bottom/>
      <diagonal/>
    </border>
    <border>
      <left style="medium">
        <color rgb="FF000000"/>
      </left>
      <right style="medium">
        <color indexed="64"/>
      </right>
      <top/>
      <bottom/>
      <diagonal/>
    </border>
    <border>
      <left style="medium">
        <color indexed="64"/>
      </left>
      <right/>
      <top style="medium">
        <color rgb="FF000000"/>
      </top>
      <bottom/>
      <diagonal/>
    </border>
    <border>
      <left/>
      <right/>
      <top style="medium">
        <color rgb="FF000000"/>
      </top>
      <bottom/>
      <diagonal/>
    </border>
    <border>
      <left style="medium">
        <color indexed="64"/>
      </left>
      <right/>
      <top/>
      <bottom style="medium">
        <color rgb="FF000000"/>
      </bottom>
      <diagonal/>
    </border>
    <border>
      <left style="medium">
        <color indexed="64"/>
      </left>
      <right/>
      <top style="medium">
        <color rgb="FF000000"/>
      </top>
      <bottom style="medium">
        <color rgb="FF000000"/>
      </bottom>
      <diagonal/>
    </border>
    <border>
      <left/>
      <right style="medium">
        <color indexed="64"/>
      </right>
      <top/>
      <bottom style="medium">
        <color rgb="FF000000"/>
      </bottom>
      <diagonal/>
    </border>
    <border>
      <left/>
      <right style="medium">
        <color indexed="64"/>
      </right>
      <top style="medium">
        <color rgb="FF000000"/>
      </top>
      <bottom style="medium">
        <color rgb="FF000000"/>
      </bottom>
      <diagonal/>
    </border>
    <border>
      <left/>
      <right style="medium">
        <color indexed="64"/>
      </right>
      <top style="medium">
        <color rgb="FF000000"/>
      </top>
      <bottom/>
      <diagonal/>
    </border>
    <border>
      <left/>
      <right style="thin">
        <color indexed="64"/>
      </right>
      <top style="thin">
        <color indexed="64"/>
      </top>
      <bottom style="thin">
        <color indexed="64"/>
      </bottom>
      <diagonal/>
    </border>
    <border>
      <left style="medium">
        <color rgb="FF000000"/>
      </left>
      <right/>
      <top style="medium">
        <color indexed="64"/>
      </top>
      <bottom style="medium">
        <color rgb="FF000000"/>
      </bottom>
      <diagonal/>
    </border>
    <border>
      <left/>
      <right/>
      <top style="medium">
        <color indexed="64"/>
      </top>
      <bottom style="medium">
        <color rgb="FF000000"/>
      </bottom>
      <diagonal/>
    </border>
    <border>
      <left style="medium">
        <color indexed="64"/>
      </left>
      <right/>
      <top style="thin">
        <color indexed="64"/>
      </top>
      <bottom/>
      <diagonal/>
    </border>
    <border>
      <left/>
      <right style="thin">
        <color indexed="64"/>
      </right>
      <top/>
      <bottom/>
      <diagonal/>
    </border>
  </borders>
  <cellStyleXfs count="9">
    <xf numFmtId="0" fontId="0" fillId="0" borderId="0"/>
    <xf numFmtId="167" fontId="1" fillId="0" borderId="0" applyFont="0" applyFill="0" applyBorder="0" applyAlignment="0" applyProtection="0"/>
    <xf numFmtId="0" fontId="2" fillId="0" borderId="0"/>
    <xf numFmtId="167" fontId="2" fillId="0" borderId="0" applyFont="0" applyFill="0" applyBorder="0" applyAlignment="0" applyProtection="0"/>
    <xf numFmtId="167" fontId="1" fillId="0" borderId="0" applyFont="0" applyFill="0" applyBorder="0" applyAlignment="0" applyProtection="0"/>
    <xf numFmtId="0" fontId="14" fillId="0" borderId="0"/>
    <xf numFmtId="43" fontId="2" fillId="0" borderId="0" applyFont="0" applyFill="0" applyBorder="0" applyAlignment="0" applyProtection="0"/>
    <xf numFmtId="9" fontId="1" fillId="0" borderId="0" applyFont="0" applyFill="0" applyBorder="0" applyAlignment="0" applyProtection="0"/>
    <xf numFmtId="168" fontId="1" fillId="0" borderId="0" applyFont="0" applyFill="0" applyBorder="0" applyAlignment="0" applyProtection="0"/>
  </cellStyleXfs>
  <cellXfs count="1195">
    <xf numFmtId="0" fontId="0" fillId="0" borderId="0" xfId="0"/>
    <xf numFmtId="0" fontId="3" fillId="2" borderId="0" xfId="2" applyFont="1" applyFill="1" applyAlignment="1">
      <alignment horizontal="centerContinuous"/>
    </xf>
    <xf numFmtId="0" fontId="4" fillId="2" borderId="0" xfId="2" applyFont="1" applyFill="1" applyAlignment="1">
      <alignment horizontal="centerContinuous"/>
    </xf>
    <xf numFmtId="0" fontId="4" fillId="2" borderId="0" xfId="2" applyFont="1" applyFill="1" applyAlignment="1">
      <alignment horizontal="center"/>
    </xf>
    <xf numFmtId="0" fontId="4" fillId="3" borderId="0" xfId="2" applyFont="1" applyFill="1" applyAlignment="1">
      <alignment horizontal="center"/>
    </xf>
    <xf numFmtId="0" fontId="1" fillId="0" borderId="0" xfId="0" applyFont="1"/>
    <xf numFmtId="0" fontId="5" fillId="2" borderId="0" xfId="2" applyFont="1" applyFill="1" applyAlignment="1">
      <alignment horizontal="centerContinuous"/>
    </xf>
    <xf numFmtId="0" fontId="6" fillId="2" borderId="0" xfId="2" applyFont="1" applyFill="1" applyAlignment="1">
      <alignment horizontal="centerContinuous"/>
    </xf>
    <xf numFmtId="0" fontId="6" fillId="2" borderId="0" xfId="2" applyFont="1" applyFill="1" applyAlignment="1">
      <alignment horizontal="center"/>
    </xf>
    <xf numFmtId="0" fontId="7" fillId="0" borderId="1" xfId="2" applyFont="1" applyBorder="1" applyAlignment="1">
      <alignment vertical="center"/>
    </xf>
    <xf numFmtId="0" fontId="4" fillId="2" borderId="2" xfId="2" applyFont="1" applyFill="1" applyBorder="1" applyAlignment="1">
      <alignment horizontal="centerContinuous" vertical="center"/>
    </xf>
    <xf numFmtId="0" fontId="4" fillId="2" borderId="3" xfId="2" applyFont="1" applyFill="1" applyBorder="1" applyAlignment="1">
      <alignment horizontal="left" vertical="center"/>
    </xf>
    <xf numFmtId="0" fontId="7" fillId="2" borderId="4" xfId="2" applyFont="1" applyFill="1" applyBorder="1" applyAlignment="1">
      <alignment horizontal="center" wrapText="1"/>
    </xf>
    <xf numFmtId="0" fontId="4" fillId="0" borderId="0" xfId="2" applyFont="1"/>
    <xf numFmtId="0" fontId="7" fillId="2" borderId="5" xfId="2" applyFont="1" applyFill="1" applyBorder="1" applyAlignment="1">
      <alignment horizontal="left" vertical="center" wrapText="1"/>
    </xf>
    <xf numFmtId="0" fontId="4" fillId="2" borderId="6" xfId="2" applyFont="1" applyFill="1" applyBorder="1" applyAlignment="1">
      <alignment horizontal="centerContinuous" vertical="center"/>
    </xf>
    <xf numFmtId="0" fontId="4" fillId="2" borderId="7" xfId="2" applyFont="1" applyFill="1" applyBorder="1" applyAlignment="1">
      <alignment horizontal="left" vertical="center"/>
    </xf>
    <xf numFmtId="0" fontId="7" fillId="2" borderId="5" xfId="2" applyFont="1" applyFill="1" applyBorder="1" applyAlignment="1">
      <alignment horizontal="center" wrapText="1"/>
    </xf>
    <xf numFmtId="0" fontId="7" fillId="2" borderId="2" xfId="2" applyFont="1" applyFill="1" applyBorder="1" applyAlignment="1">
      <alignment horizontal="center" wrapText="1"/>
    </xf>
    <xf numFmtId="0" fontId="7" fillId="2" borderId="3" xfId="2" applyFont="1" applyFill="1" applyBorder="1" applyAlignment="1">
      <alignment horizontal="center" wrapText="1"/>
    </xf>
    <xf numFmtId="0" fontId="7" fillId="2" borderId="1" xfId="2" applyFont="1" applyFill="1" applyBorder="1"/>
    <xf numFmtId="0" fontId="4" fillId="2" borderId="2" xfId="2" applyFont="1" applyFill="1" applyBorder="1"/>
    <xf numFmtId="0" fontId="4" fillId="2" borderId="3" xfId="2" applyFont="1" applyFill="1" applyBorder="1" applyAlignment="1">
      <alignment horizontal="left"/>
    </xf>
    <xf numFmtId="0" fontId="4" fillId="2" borderId="8" xfId="2" applyFont="1" applyFill="1" applyBorder="1" applyAlignment="1">
      <alignment horizontal="center"/>
    </xf>
    <xf numFmtId="0" fontId="4" fillId="0" borderId="9" xfId="2" applyFont="1" applyBorder="1" applyAlignment="1">
      <alignment horizontal="center"/>
    </xf>
    <xf numFmtId="0" fontId="4" fillId="0" borderId="10" xfId="2" applyFont="1" applyBorder="1" applyAlignment="1">
      <alignment horizontal="center"/>
    </xf>
    <xf numFmtId="0" fontId="7" fillId="2" borderId="5" xfId="2" applyFont="1" applyFill="1" applyBorder="1"/>
    <xf numFmtId="0" fontId="4" fillId="2" borderId="11" xfId="2" applyFont="1" applyFill="1" applyBorder="1"/>
    <xf numFmtId="0" fontId="4" fillId="2" borderId="11" xfId="2" applyFont="1" applyFill="1" applyBorder="1" applyAlignment="1">
      <alignment horizontal="left"/>
    </xf>
    <xf numFmtId="167" fontId="4" fillId="2" borderId="12" xfId="3" applyFont="1" applyFill="1" applyBorder="1" applyAlignment="1"/>
    <xf numFmtId="167" fontId="4" fillId="2" borderId="13" xfId="3" applyFont="1" applyFill="1" applyBorder="1" applyAlignment="1"/>
    <xf numFmtId="169" fontId="4" fillId="0" borderId="0" xfId="2" applyNumberFormat="1" applyFont="1"/>
    <xf numFmtId="0" fontId="7" fillId="2" borderId="14" xfId="2" applyFont="1" applyFill="1" applyBorder="1"/>
    <xf numFmtId="0" fontId="4" fillId="2" borderId="15" xfId="2" applyFont="1" applyFill="1" applyBorder="1"/>
    <xf numFmtId="0" fontId="4" fillId="2" borderId="15" xfId="2" applyFont="1" applyFill="1" applyBorder="1" applyAlignment="1">
      <alignment horizontal="left"/>
    </xf>
    <xf numFmtId="167" fontId="4" fillId="2" borderId="16" xfId="3" applyFont="1" applyFill="1" applyBorder="1" applyAlignment="1"/>
    <xf numFmtId="167" fontId="4" fillId="2" borderId="18" xfId="3" applyFont="1" applyFill="1" applyBorder="1" applyAlignment="1"/>
    <xf numFmtId="0" fontId="4" fillId="2" borderId="19" xfId="2" applyFont="1" applyFill="1" applyBorder="1"/>
    <xf numFmtId="0" fontId="4" fillId="2" borderId="19" xfId="2" applyFont="1" applyFill="1" applyBorder="1" applyAlignment="1">
      <alignment horizontal="left"/>
    </xf>
    <xf numFmtId="167" fontId="4" fillId="2" borderId="20" xfId="3" applyFont="1" applyFill="1" applyBorder="1" applyAlignment="1"/>
    <xf numFmtId="0" fontId="4" fillId="2" borderId="23" xfId="2" applyFont="1" applyFill="1" applyBorder="1"/>
    <xf numFmtId="0" fontId="4" fillId="2" borderId="23" xfId="2" applyFont="1" applyFill="1" applyBorder="1" applyAlignment="1">
      <alignment horizontal="left"/>
    </xf>
    <xf numFmtId="0" fontId="4" fillId="2" borderId="14" xfId="2" applyFont="1" applyFill="1" applyBorder="1"/>
    <xf numFmtId="0" fontId="4" fillId="2" borderId="24" xfId="2" applyFont="1" applyFill="1" applyBorder="1"/>
    <xf numFmtId="0" fontId="4" fillId="2" borderId="25" xfId="2" applyFont="1" applyFill="1" applyBorder="1"/>
    <xf numFmtId="0" fontId="4" fillId="2" borderId="25" xfId="2" applyFont="1" applyFill="1" applyBorder="1" applyAlignment="1">
      <alignment horizontal="left"/>
    </xf>
    <xf numFmtId="167" fontId="4" fillId="2" borderId="26" xfId="3" applyFont="1" applyFill="1" applyBorder="1" applyAlignment="1"/>
    <xf numFmtId="167" fontId="4" fillId="2" borderId="27" xfId="3" applyFont="1" applyFill="1" applyBorder="1" applyAlignment="1"/>
    <xf numFmtId="0" fontId="4" fillId="2" borderId="2" xfId="2" applyFont="1" applyFill="1" applyBorder="1" applyAlignment="1">
      <alignment horizontal="left"/>
    </xf>
    <xf numFmtId="167" fontId="4" fillId="2" borderId="24" xfId="3" applyFont="1" applyFill="1" applyBorder="1" applyAlignment="1"/>
    <xf numFmtId="167" fontId="4" fillId="2" borderId="28" xfId="3" applyFont="1" applyFill="1" applyBorder="1" applyAlignment="1"/>
    <xf numFmtId="167" fontId="4" fillId="2" borderId="29" xfId="3" applyFont="1" applyFill="1" applyBorder="1" applyAlignment="1"/>
    <xf numFmtId="167" fontId="4" fillId="2" borderId="30" xfId="3" applyFont="1" applyFill="1" applyBorder="1" applyAlignment="1"/>
    <xf numFmtId="167" fontId="4" fillId="2" borderId="31" xfId="3" applyFont="1" applyFill="1" applyBorder="1" applyAlignment="1"/>
    <xf numFmtId="167" fontId="4" fillId="2" borderId="32" xfId="3" applyFont="1" applyFill="1" applyBorder="1" applyAlignment="1"/>
    <xf numFmtId="0" fontId="4" fillId="2" borderId="33" xfId="2" applyFont="1" applyFill="1" applyBorder="1" applyAlignment="1">
      <alignment horizontal="left"/>
    </xf>
    <xf numFmtId="167" fontId="4" fillId="2" borderId="34" xfId="3" applyFont="1" applyFill="1" applyBorder="1" applyAlignment="1"/>
    <xf numFmtId="167" fontId="4" fillId="2" borderId="35" xfId="3" applyFont="1" applyFill="1" applyBorder="1" applyAlignment="1"/>
    <xf numFmtId="0" fontId="8" fillId="0" borderId="6" xfId="2" applyFont="1" applyBorder="1" applyAlignment="1">
      <alignment horizontal="center"/>
    </xf>
    <xf numFmtId="0" fontId="4" fillId="2" borderId="6" xfId="2" applyFont="1" applyFill="1" applyBorder="1"/>
    <xf numFmtId="0" fontId="4" fillId="2" borderId="6" xfId="2" applyFont="1" applyFill="1" applyBorder="1" applyAlignment="1">
      <alignment horizontal="left"/>
    </xf>
    <xf numFmtId="0" fontId="8" fillId="0" borderId="0" xfId="2" applyFont="1" applyAlignment="1">
      <alignment horizontal="center"/>
    </xf>
    <xf numFmtId="0" fontId="4" fillId="2" borderId="0" xfId="2" applyFont="1" applyFill="1"/>
    <xf numFmtId="0" fontId="4" fillId="2" borderId="0" xfId="2" applyFont="1" applyFill="1" applyAlignment="1">
      <alignment horizontal="left"/>
    </xf>
    <xf numFmtId="0" fontId="7" fillId="2" borderId="28" xfId="2" applyFont="1" applyFill="1" applyBorder="1" applyAlignment="1">
      <alignment horizontal="center" wrapText="1"/>
    </xf>
    <xf numFmtId="0" fontId="7" fillId="2" borderId="6" xfId="2" applyFont="1" applyFill="1" applyBorder="1"/>
    <xf numFmtId="0" fontId="4" fillId="2" borderId="7" xfId="2" applyFont="1" applyFill="1" applyBorder="1"/>
    <xf numFmtId="0" fontId="7" fillId="2" borderId="36" xfId="2" applyFont="1" applyFill="1" applyBorder="1"/>
    <xf numFmtId="167" fontId="9" fillId="2" borderId="12" xfId="3" applyFont="1" applyFill="1" applyBorder="1" applyAlignment="1"/>
    <xf numFmtId="167" fontId="4" fillId="2" borderId="37" xfId="3" applyFont="1" applyFill="1" applyBorder="1" applyAlignment="1">
      <alignment horizontal="center"/>
    </xf>
    <xf numFmtId="167" fontId="4" fillId="2" borderId="38" xfId="3" applyFont="1" applyFill="1" applyBorder="1" applyAlignment="1"/>
    <xf numFmtId="167" fontId="4" fillId="2" borderId="30" xfId="3" applyFont="1" applyFill="1" applyBorder="1" applyAlignment="1">
      <alignment horizontal="center"/>
    </xf>
    <xf numFmtId="167" fontId="9" fillId="2" borderId="18" xfId="3" applyFont="1" applyFill="1" applyBorder="1" applyAlignment="1"/>
    <xf numFmtId="0" fontId="7" fillId="2" borderId="24" xfId="2" applyFont="1" applyFill="1" applyBorder="1"/>
    <xf numFmtId="0" fontId="4" fillId="2" borderId="39" xfId="2" applyFont="1" applyFill="1" applyBorder="1"/>
    <xf numFmtId="0" fontId="4" fillId="2" borderId="39" xfId="2" applyFont="1" applyFill="1" applyBorder="1" applyAlignment="1">
      <alignment horizontal="left"/>
    </xf>
    <xf numFmtId="167" fontId="4" fillId="2" borderId="20" xfId="3" applyFont="1" applyFill="1" applyBorder="1" applyAlignment="1">
      <alignment horizontal="center"/>
    </xf>
    <xf numFmtId="167" fontId="9" fillId="2" borderId="22" xfId="3" applyFont="1" applyFill="1" applyBorder="1" applyAlignment="1"/>
    <xf numFmtId="167" fontId="4" fillId="2" borderId="40" xfId="3" applyFont="1" applyFill="1" applyBorder="1" applyAlignment="1">
      <alignment horizontal="center"/>
    </xf>
    <xf numFmtId="167" fontId="9" fillId="2" borderId="41" xfId="3" applyFont="1" applyFill="1" applyBorder="1" applyAlignment="1"/>
    <xf numFmtId="167" fontId="4" fillId="2" borderId="42" xfId="3" applyFont="1" applyFill="1" applyBorder="1" applyAlignment="1">
      <alignment horizontal="center"/>
    </xf>
    <xf numFmtId="167" fontId="9" fillId="2" borderId="32" xfId="3" applyFont="1" applyFill="1" applyBorder="1" applyAlignment="1"/>
    <xf numFmtId="0" fontId="4" fillId="0" borderId="24" xfId="2" applyFont="1" applyBorder="1"/>
    <xf numFmtId="0" fontId="7" fillId="2" borderId="11" xfId="2" applyFont="1" applyFill="1" applyBorder="1" applyAlignment="1">
      <alignment horizontal="left"/>
    </xf>
    <xf numFmtId="167" fontId="4" fillId="2" borderId="12" xfId="3" applyFont="1" applyFill="1" applyBorder="1" applyAlignment="1">
      <alignment horizontal="center"/>
    </xf>
    <xf numFmtId="167" fontId="9" fillId="2" borderId="13" xfId="3" applyFont="1" applyFill="1" applyBorder="1" applyAlignment="1"/>
    <xf numFmtId="167" fontId="4" fillId="2" borderId="26" xfId="3" applyFont="1" applyFill="1" applyBorder="1" applyAlignment="1">
      <alignment horizontal="center"/>
    </xf>
    <xf numFmtId="167" fontId="9" fillId="2" borderId="27" xfId="3" applyFont="1" applyFill="1" applyBorder="1" applyAlignment="1"/>
    <xf numFmtId="167" fontId="4" fillId="2" borderId="43" xfId="3" applyFont="1" applyFill="1" applyBorder="1" applyAlignment="1">
      <alignment horizontal="center"/>
    </xf>
    <xf numFmtId="167" fontId="4" fillId="2" borderId="36" xfId="3" applyFont="1" applyFill="1" applyBorder="1" applyAlignment="1">
      <alignment horizontal="center"/>
    </xf>
    <xf numFmtId="167" fontId="4" fillId="2" borderId="44" xfId="3" applyFont="1" applyFill="1" applyBorder="1" applyAlignment="1">
      <alignment horizontal="center"/>
    </xf>
    <xf numFmtId="0" fontId="7" fillId="0" borderId="24" xfId="2" applyFont="1" applyBorder="1"/>
    <xf numFmtId="0" fontId="4" fillId="0" borderId="14" xfId="2" applyFont="1" applyBorder="1"/>
    <xf numFmtId="167" fontId="9" fillId="2" borderId="29" xfId="3" applyFont="1" applyFill="1" applyBorder="1" applyAlignment="1"/>
    <xf numFmtId="167" fontId="4" fillId="2" borderId="41" xfId="3" applyFont="1" applyFill="1" applyBorder="1" applyAlignment="1">
      <alignment horizontal="center"/>
    </xf>
    <xf numFmtId="0" fontId="7" fillId="2" borderId="23" xfId="2" applyFont="1" applyFill="1" applyBorder="1" applyAlignment="1">
      <alignment horizontal="left"/>
    </xf>
    <xf numFmtId="170" fontId="4" fillId="2" borderId="12" xfId="3" applyNumberFormat="1" applyFont="1" applyFill="1" applyBorder="1" applyAlignment="1"/>
    <xf numFmtId="170" fontId="4" fillId="2" borderId="13" xfId="3" applyNumberFormat="1" applyFont="1" applyFill="1" applyBorder="1" applyAlignment="1"/>
    <xf numFmtId="0" fontId="7" fillId="2" borderId="15" xfId="2" applyFont="1" applyFill="1" applyBorder="1" applyAlignment="1">
      <alignment horizontal="left"/>
    </xf>
    <xf numFmtId="170" fontId="4" fillId="2" borderId="16" xfId="3" applyNumberFormat="1" applyFont="1" applyFill="1" applyBorder="1" applyAlignment="1"/>
    <xf numFmtId="170" fontId="4" fillId="2" borderId="18" xfId="3" applyNumberFormat="1" applyFont="1" applyFill="1" applyBorder="1" applyAlignment="1"/>
    <xf numFmtId="0" fontId="7" fillId="2" borderId="19" xfId="2" applyFont="1" applyFill="1" applyBorder="1" applyAlignment="1">
      <alignment horizontal="left"/>
    </xf>
    <xf numFmtId="170" fontId="4" fillId="2" borderId="20" xfId="3" applyNumberFormat="1" applyFont="1" applyFill="1" applyBorder="1" applyAlignment="1"/>
    <xf numFmtId="170" fontId="4" fillId="2" borderId="27" xfId="3" applyNumberFormat="1" applyFont="1" applyFill="1" applyBorder="1" applyAlignment="1"/>
    <xf numFmtId="0" fontId="7" fillId="2" borderId="2" xfId="2" applyFont="1" applyFill="1" applyBorder="1"/>
    <xf numFmtId="0" fontId="7" fillId="2" borderId="2" xfId="2" applyFont="1" applyFill="1" applyBorder="1" applyAlignment="1">
      <alignment horizontal="left"/>
    </xf>
    <xf numFmtId="170" fontId="7" fillId="2" borderId="40" xfId="2" applyNumberFormat="1" applyFont="1" applyFill="1" applyBorder="1"/>
    <xf numFmtId="170" fontId="7" fillId="2" borderId="41" xfId="2" applyNumberFormat="1" applyFont="1" applyFill="1" applyBorder="1"/>
    <xf numFmtId="0" fontId="7" fillId="2" borderId="0" xfId="2" applyFont="1" applyFill="1"/>
    <xf numFmtId="170" fontId="7" fillId="2" borderId="40" xfId="3" applyNumberFormat="1" applyFont="1" applyFill="1" applyBorder="1" applyAlignment="1"/>
    <xf numFmtId="170" fontId="7" fillId="2" borderId="41" xfId="3" applyNumberFormat="1" applyFont="1" applyFill="1" applyBorder="1" applyAlignment="1"/>
    <xf numFmtId="0" fontId="10" fillId="2" borderId="0" xfId="2" applyFont="1" applyFill="1"/>
    <xf numFmtId="167" fontId="4" fillId="2" borderId="0" xfId="3" applyFont="1" applyFill="1" applyAlignment="1"/>
    <xf numFmtId="0" fontId="7" fillId="2" borderId="28" xfId="2" applyFont="1" applyFill="1" applyBorder="1" applyAlignment="1">
      <alignment horizontal="center" vertical="center" textRotation="90"/>
    </xf>
    <xf numFmtId="0" fontId="7" fillId="2" borderId="1" xfId="2" applyFont="1" applyFill="1" applyBorder="1" applyAlignment="1">
      <alignment vertical="center"/>
    </xf>
    <xf numFmtId="0" fontId="7" fillId="2" borderId="2" xfId="2" applyFont="1" applyFill="1" applyBorder="1" applyAlignment="1">
      <alignment horizontal="centerContinuous" vertical="center"/>
    </xf>
    <xf numFmtId="0" fontId="7" fillId="2" borderId="3" xfId="2" applyFont="1" applyFill="1" applyBorder="1" applyAlignment="1">
      <alignment horizontal="centerContinuous" vertical="center"/>
    </xf>
    <xf numFmtId="0" fontId="7" fillId="0" borderId="0" xfId="2" applyFont="1"/>
    <xf numFmtId="0" fontId="4" fillId="2" borderId="20" xfId="2" applyFont="1" applyFill="1" applyBorder="1" applyAlignment="1">
      <alignment horizontal="center"/>
    </xf>
    <xf numFmtId="0" fontId="7" fillId="2" borderId="45" xfId="2" applyFont="1" applyFill="1" applyBorder="1"/>
    <xf numFmtId="171" fontId="4" fillId="2" borderId="8" xfId="1" applyNumberFormat="1" applyFont="1" applyFill="1" applyBorder="1" applyAlignment="1"/>
    <xf numFmtId="171" fontId="4" fillId="2" borderId="9" xfId="1" applyNumberFormat="1" applyFont="1" applyFill="1" applyBorder="1" applyAlignment="1"/>
    <xf numFmtId="171" fontId="4" fillId="0" borderId="10" xfId="1" applyNumberFormat="1" applyFont="1" applyBorder="1" applyAlignment="1"/>
    <xf numFmtId="0" fontId="4" fillId="2" borderId="43" xfId="2" applyFont="1" applyFill="1" applyBorder="1" applyAlignment="1">
      <alignment horizontal="center"/>
    </xf>
    <xf numFmtId="0" fontId="7" fillId="2" borderId="46" xfId="2" applyFont="1" applyFill="1" applyBorder="1"/>
    <xf numFmtId="0" fontId="4" fillId="2" borderId="0" xfId="2" applyFont="1" applyFill="1" applyAlignment="1">
      <alignment wrapText="1"/>
    </xf>
    <xf numFmtId="171" fontId="4" fillId="2" borderId="43" xfId="1" applyNumberFormat="1" applyFont="1" applyFill="1" applyBorder="1" applyAlignment="1"/>
    <xf numFmtId="171" fontId="4" fillId="2" borderId="35" xfId="1" applyNumberFormat="1" applyFont="1" applyFill="1" applyBorder="1" applyAlignment="1"/>
    <xf numFmtId="171" fontId="4" fillId="2" borderId="47" xfId="1" applyNumberFormat="1" applyFont="1" applyFill="1" applyBorder="1" applyAlignment="1"/>
    <xf numFmtId="0" fontId="4" fillId="2" borderId="30" xfId="2" applyFont="1" applyFill="1" applyBorder="1" applyAlignment="1">
      <alignment horizontal="center"/>
    </xf>
    <xf numFmtId="0" fontId="7" fillId="2" borderId="48" xfId="2" applyFont="1" applyFill="1" applyBorder="1"/>
    <xf numFmtId="0" fontId="4" fillId="2" borderId="11" xfId="2" applyFont="1" applyFill="1" applyBorder="1" applyAlignment="1">
      <alignment wrapText="1"/>
    </xf>
    <xf numFmtId="171" fontId="4" fillId="2" borderId="30" xfId="1" applyNumberFormat="1" applyFont="1" applyFill="1" applyBorder="1" applyAlignment="1"/>
    <xf numFmtId="171" fontId="4" fillId="2" borderId="31" xfId="1" applyNumberFormat="1" applyFont="1" applyFill="1" applyBorder="1" applyAlignment="1"/>
    <xf numFmtId="171" fontId="4" fillId="2" borderId="32" xfId="1" applyNumberFormat="1" applyFont="1" applyFill="1" applyBorder="1" applyAlignment="1"/>
    <xf numFmtId="171" fontId="4" fillId="2" borderId="20" xfId="1" applyNumberFormat="1" applyFont="1" applyFill="1" applyBorder="1" applyAlignment="1"/>
    <xf numFmtId="171" fontId="4" fillId="0" borderId="47" xfId="1" applyNumberFormat="1" applyFont="1" applyBorder="1" applyAlignment="1"/>
    <xf numFmtId="0" fontId="7" fillId="2" borderId="49" xfId="2" applyFont="1" applyFill="1" applyBorder="1"/>
    <xf numFmtId="167" fontId="4" fillId="2" borderId="17" xfId="2" applyNumberFormat="1" applyFont="1" applyFill="1" applyBorder="1"/>
    <xf numFmtId="167" fontId="4" fillId="0" borderId="18" xfId="2" applyNumberFormat="1" applyFont="1" applyBorder="1"/>
    <xf numFmtId="167" fontId="4" fillId="2" borderId="21" xfId="2" applyNumberFormat="1" applyFont="1" applyFill="1" applyBorder="1"/>
    <xf numFmtId="167" fontId="4" fillId="0" borderId="22" xfId="2" applyNumberFormat="1" applyFont="1" applyBorder="1"/>
    <xf numFmtId="0" fontId="4" fillId="0" borderId="11" xfId="2" applyFont="1" applyBorder="1"/>
    <xf numFmtId="167" fontId="4" fillId="2" borderId="43" xfId="3" applyFont="1" applyFill="1" applyBorder="1" applyAlignment="1"/>
    <xf numFmtId="167" fontId="4" fillId="2" borderId="47" xfId="3" applyFont="1" applyFill="1" applyBorder="1" applyAlignment="1"/>
    <xf numFmtId="0" fontId="4" fillId="2" borderId="44" xfId="2" applyFont="1" applyFill="1" applyBorder="1" applyAlignment="1">
      <alignment horizontal="center"/>
    </xf>
    <xf numFmtId="0" fontId="7" fillId="2" borderId="50" xfId="2" applyFont="1" applyFill="1" applyBorder="1"/>
    <xf numFmtId="167" fontId="4" fillId="2" borderId="44" xfId="3" applyFont="1" applyFill="1" applyBorder="1" applyAlignment="1"/>
    <xf numFmtId="0" fontId="4" fillId="0" borderId="0" xfId="2" applyFont="1" applyAlignment="1">
      <alignment horizontal="center"/>
    </xf>
    <xf numFmtId="0" fontId="11" fillId="0" borderId="0" xfId="0" applyFont="1"/>
    <xf numFmtId="0" fontId="11" fillId="0" borderId="0" xfId="0" applyFont="1" applyAlignment="1">
      <alignment wrapText="1"/>
    </xf>
    <xf numFmtId="0" fontId="11" fillId="0" borderId="0" xfId="0" applyFont="1" applyAlignment="1">
      <alignment horizontal="center"/>
    </xf>
    <xf numFmtId="0" fontId="11" fillId="0" borderId="0" xfId="0" applyFont="1" applyAlignment="1">
      <alignment horizontal="right"/>
    </xf>
    <xf numFmtId="0" fontId="12" fillId="0" borderId="0" xfId="0" applyFont="1"/>
    <xf numFmtId="0" fontId="12" fillId="0" borderId="0" xfId="0" applyFont="1" applyAlignment="1">
      <alignment vertical="top" wrapText="1"/>
    </xf>
    <xf numFmtId="0" fontId="11" fillId="0" borderId="28" xfId="0" applyFont="1" applyBorder="1" applyAlignment="1">
      <alignment horizontal="left" wrapText="1"/>
    </xf>
    <xf numFmtId="0" fontId="11" fillId="0" borderId="28" xfId="0" applyFont="1" applyBorder="1" applyAlignment="1">
      <alignment vertical="top" wrapText="1"/>
    </xf>
    <xf numFmtId="0" fontId="11" fillId="0" borderId="28" xfId="0" applyFont="1" applyBorder="1" applyAlignment="1">
      <alignment horizontal="center" wrapText="1"/>
    </xf>
    <xf numFmtId="172" fontId="11" fillId="0" borderId="51" xfId="4" applyNumberFormat="1" applyFont="1" applyBorder="1" applyAlignment="1">
      <alignment horizontal="right" wrapText="1"/>
    </xf>
    <xf numFmtId="172" fontId="11" fillId="0" borderId="52" xfId="4" applyNumberFormat="1" applyFont="1" applyBorder="1" applyAlignment="1">
      <alignment horizontal="right" wrapText="1"/>
    </xf>
    <xf numFmtId="172" fontId="11" fillId="0" borderId="51" xfId="0" applyNumberFormat="1" applyFont="1" applyBorder="1" applyAlignment="1">
      <alignment horizontal="right"/>
    </xf>
    <xf numFmtId="172" fontId="11" fillId="0" borderId="28" xfId="0" applyNumberFormat="1" applyFont="1" applyBorder="1" applyAlignment="1">
      <alignment horizontal="right"/>
    </xf>
    <xf numFmtId="0" fontId="11" fillId="0" borderId="28" xfId="0" applyFont="1" applyBorder="1" applyAlignment="1">
      <alignment horizontal="left"/>
    </xf>
    <xf numFmtId="0" fontId="12" fillId="0" borderId="28" xfId="0" applyFont="1" applyBorder="1" applyAlignment="1">
      <alignment horizontal="left" vertical="top" wrapText="1"/>
    </xf>
    <xf numFmtId="172" fontId="11" fillId="0" borderId="28" xfId="0" applyNumberFormat="1" applyFont="1" applyBorder="1" applyAlignment="1">
      <alignment horizontal="right" wrapText="1"/>
    </xf>
    <xf numFmtId="0" fontId="11" fillId="0" borderId="28" xfId="0" applyFont="1" applyBorder="1" applyAlignment="1">
      <alignment horizontal="center"/>
    </xf>
    <xf numFmtId="0" fontId="11" fillId="0" borderId="4" xfId="0" applyFont="1" applyBorder="1" applyAlignment="1">
      <alignment horizontal="left" wrapText="1"/>
    </xf>
    <xf numFmtId="0" fontId="11" fillId="0" borderId="4" xfId="0" quotePrefix="1" applyFont="1" applyBorder="1" applyAlignment="1">
      <alignment horizontal="left" wrapText="1"/>
    </xf>
    <xf numFmtId="0" fontId="12" fillId="0" borderId="0" xfId="0" applyFont="1" applyAlignment="1">
      <alignment horizontal="left"/>
    </xf>
    <xf numFmtId="9" fontId="11" fillId="0" borderId="28" xfId="0" applyNumberFormat="1" applyFont="1" applyBorder="1" applyAlignment="1">
      <alignment horizontal="right"/>
    </xf>
    <xf numFmtId="9" fontId="11" fillId="0" borderId="1" xfId="0" applyNumberFormat="1" applyFont="1" applyBorder="1" applyAlignment="1">
      <alignment horizontal="right"/>
    </xf>
    <xf numFmtId="0" fontId="11" fillId="0" borderId="0" xfId="0" applyFont="1" applyAlignment="1">
      <alignment vertical="top" wrapText="1"/>
    </xf>
    <xf numFmtId="0" fontId="11" fillId="0" borderId="0" xfId="0" applyFont="1" applyAlignment="1">
      <alignment horizontal="center" wrapText="1"/>
    </xf>
    <xf numFmtId="172" fontId="11" fillId="0" borderId="0" xfId="0" applyNumberFormat="1" applyFont="1" applyAlignment="1">
      <alignment horizontal="right" wrapText="1"/>
    </xf>
    <xf numFmtId="172" fontId="11" fillId="0" borderId="0" xfId="4" applyNumberFormat="1" applyFont="1" applyBorder="1" applyAlignment="1">
      <alignment horizontal="right" wrapText="1"/>
    </xf>
    <xf numFmtId="172" fontId="11" fillId="0" borderId="0" xfId="0" applyNumberFormat="1" applyFont="1" applyAlignment="1">
      <alignment horizontal="right"/>
    </xf>
    <xf numFmtId="0" fontId="11" fillId="0" borderId="0" xfId="0" applyFont="1" applyAlignment="1">
      <alignment horizontal="left"/>
    </xf>
    <xf numFmtId="0" fontId="12" fillId="0" borderId="1" xfId="0" applyFont="1" applyBorder="1" applyAlignment="1">
      <alignment horizontal="left"/>
    </xf>
    <xf numFmtId="0" fontId="12" fillId="0" borderId="28" xfId="0" applyFont="1" applyBorder="1" applyAlignment="1">
      <alignment horizontal="left"/>
    </xf>
    <xf numFmtId="0" fontId="13" fillId="0" borderId="28" xfId="0" applyFont="1" applyBorder="1" applyAlignment="1">
      <alignment horizontal="left" wrapText="1"/>
    </xf>
    <xf numFmtId="0" fontId="11" fillId="0" borderId="28" xfId="0" applyFont="1" applyBorder="1"/>
    <xf numFmtId="166" fontId="13" fillId="0" borderId="4" xfId="0" applyNumberFormat="1" applyFont="1" applyBorder="1" applyAlignment="1">
      <alignment horizontal="center" vertical="center" textRotation="90" wrapText="1"/>
    </xf>
    <xf numFmtId="0" fontId="12" fillId="0" borderId="28" xfId="0" applyFont="1" applyBorder="1" applyAlignment="1">
      <alignment horizontal="left" wrapText="1"/>
    </xf>
    <xf numFmtId="0" fontId="12" fillId="0" borderId="28" xfId="0" applyFont="1" applyBorder="1" applyAlignment="1">
      <alignment vertical="top" wrapText="1"/>
    </xf>
    <xf numFmtId="0" fontId="12" fillId="0" borderId="28" xfId="0" applyFont="1" applyBorder="1" applyAlignment="1">
      <alignment horizontal="center" vertical="top" wrapText="1"/>
    </xf>
    <xf numFmtId="166" fontId="11" fillId="0" borderId="28" xfId="0" applyNumberFormat="1" applyFont="1" applyBorder="1" applyAlignment="1">
      <alignment horizontal="right" vertical="top" wrapText="1"/>
    </xf>
    <xf numFmtId="172" fontId="11" fillId="0" borderId="28" xfId="4" applyNumberFormat="1" applyFont="1" applyBorder="1" applyAlignment="1">
      <alignment horizontal="right" wrapText="1"/>
    </xf>
    <xf numFmtId="0" fontId="11" fillId="0" borderId="28" xfId="0" applyFont="1" applyBorder="1" applyAlignment="1">
      <alignment horizontal="right" vertical="top" wrapText="1"/>
    </xf>
    <xf numFmtId="166" fontId="13" fillId="0" borderId="53" xfId="0" applyNumberFormat="1" applyFont="1" applyBorder="1" applyAlignment="1">
      <alignment horizontal="center" vertical="center" textRotation="90" wrapText="1"/>
    </xf>
    <xf numFmtId="0" fontId="11" fillId="0" borderId="28" xfId="0" applyFont="1" applyBorder="1" applyAlignment="1">
      <alignment horizontal="center" vertical="top" wrapText="1"/>
    </xf>
    <xf numFmtId="0" fontId="11" fillId="0" borderId="28" xfId="0" applyFont="1" applyBorder="1" applyAlignment="1">
      <alignment horizontal="left" vertical="top" wrapText="1"/>
    </xf>
    <xf numFmtId="166" fontId="13" fillId="0" borderId="28" xfId="0" applyNumberFormat="1" applyFont="1" applyBorder="1" applyAlignment="1">
      <alignment horizontal="center" vertical="center" textRotation="90" wrapText="1"/>
    </xf>
    <xf numFmtId="0" fontId="4" fillId="0" borderId="0" xfId="5" applyFont="1"/>
    <xf numFmtId="0" fontId="7" fillId="0" borderId="28" xfId="5" applyFont="1" applyBorder="1"/>
    <xf numFmtId="0" fontId="10" fillId="0" borderId="28" xfId="5" applyFont="1" applyBorder="1" applyAlignment="1">
      <alignment horizontal="left"/>
    </xf>
    <xf numFmtId="0" fontId="4" fillId="0" borderId="28" xfId="5" applyFont="1" applyBorder="1"/>
    <xf numFmtId="171" fontId="1" fillId="0" borderId="28" xfId="6" applyNumberFormat="1" applyFont="1" applyBorder="1" applyAlignment="1"/>
    <xf numFmtId="0" fontId="8" fillId="0" borderId="28" xfId="5" applyFont="1" applyBorder="1"/>
    <xf numFmtId="171" fontId="4" fillId="0" borderId="28" xfId="5" applyNumberFormat="1" applyFont="1" applyBorder="1"/>
    <xf numFmtId="0" fontId="4" fillId="0" borderId="28" xfId="5" applyFont="1" applyBorder="1" applyAlignment="1">
      <alignment horizontal="center"/>
    </xf>
    <xf numFmtId="0" fontId="4" fillId="0" borderId="28" xfId="5" applyFont="1" applyBorder="1" applyAlignment="1">
      <alignment horizontal="right"/>
    </xf>
    <xf numFmtId="0" fontId="8" fillId="0" borderId="28" xfId="5" applyFont="1" applyBorder="1" applyAlignment="1">
      <alignment horizontal="left"/>
    </xf>
    <xf numFmtId="0" fontId="4" fillId="0" borderId="28" xfId="5" applyFont="1" applyBorder="1" applyAlignment="1">
      <alignment horizontal="left"/>
    </xf>
    <xf numFmtId="171" fontId="1" fillId="0" borderId="28" xfId="6" applyNumberFormat="1" applyFont="1" applyBorder="1"/>
    <xf numFmtId="171" fontId="4" fillId="0" borderId="28" xfId="5" applyNumberFormat="1" applyFont="1" applyBorder="1" applyAlignment="1">
      <alignment horizontal="center"/>
    </xf>
    <xf numFmtId="171" fontId="1" fillId="0" borderId="28" xfId="6" applyNumberFormat="1" applyFont="1" applyBorder="1" applyAlignment="1">
      <alignment horizontal="center"/>
    </xf>
    <xf numFmtId="0" fontId="4" fillId="0" borderId="39" xfId="5" applyFont="1" applyBorder="1"/>
    <xf numFmtId="171" fontId="1" fillId="0" borderId="39" xfId="6" applyNumberFormat="1" applyFont="1" applyBorder="1" applyAlignment="1"/>
    <xf numFmtId="174" fontId="4" fillId="0" borderId="28" xfId="5" applyNumberFormat="1" applyFont="1" applyBorder="1"/>
    <xf numFmtId="0" fontId="10" fillId="0" borderId="28" xfId="5" applyFont="1" applyBorder="1"/>
    <xf numFmtId="0" fontId="4" fillId="0" borderId="28" xfId="5" applyFont="1" applyBorder="1" applyAlignment="1">
      <alignment wrapText="1"/>
    </xf>
    <xf numFmtId="0" fontId="7" fillId="2" borderId="4" xfId="2" applyFont="1" applyFill="1" applyBorder="1"/>
    <xf numFmtId="167" fontId="4" fillId="2" borderId="36" xfId="3" applyFont="1" applyFill="1" applyBorder="1" applyAlignment="1"/>
    <xf numFmtId="167" fontId="4" fillId="2" borderId="54" xfId="3" applyFont="1" applyFill="1" applyBorder="1" applyAlignment="1"/>
    <xf numFmtId="0" fontId="4" fillId="2" borderId="51" xfId="2" applyFont="1" applyFill="1" applyBorder="1"/>
    <xf numFmtId="167" fontId="4" fillId="2" borderId="55" xfId="3" applyFont="1" applyFill="1" applyBorder="1" applyAlignment="1"/>
    <xf numFmtId="167" fontId="4" fillId="2" borderId="56" xfId="3" applyFont="1" applyFill="1" applyBorder="1" applyAlignment="1"/>
    <xf numFmtId="167" fontId="4" fillId="2" borderId="33" xfId="3" applyFont="1" applyFill="1" applyBorder="1" applyAlignment="1"/>
    <xf numFmtId="0" fontId="7" fillId="2" borderId="28" xfId="2" applyFont="1" applyFill="1" applyBorder="1"/>
    <xf numFmtId="167" fontId="4" fillId="2" borderId="1" xfId="3" applyFont="1" applyFill="1" applyBorder="1" applyAlignment="1"/>
    <xf numFmtId="167" fontId="4" fillId="2" borderId="3" xfId="3" applyFont="1" applyFill="1" applyBorder="1" applyAlignment="1"/>
    <xf numFmtId="167" fontId="4" fillId="2" borderId="41" xfId="3" applyFont="1" applyFill="1" applyBorder="1" applyAlignment="1"/>
    <xf numFmtId="0" fontId="4" fillId="2" borderId="53" xfId="2" applyFont="1" applyFill="1" applyBorder="1"/>
    <xf numFmtId="167" fontId="4" fillId="2" borderId="57" xfId="3" applyFont="1" applyFill="1" applyBorder="1" applyAlignment="1"/>
    <xf numFmtId="167" fontId="4" fillId="2" borderId="58" xfId="3" applyFont="1" applyFill="1" applyBorder="1" applyAlignment="1"/>
    <xf numFmtId="167" fontId="4" fillId="2" borderId="59" xfId="3" applyFont="1" applyFill="1" applyBorder="1" applyAlignment="1"/>
    <xf numFmtId="167" fontId="9" fillId="2" borderId="28" xfId="3" applyFont="1" applyFill="1" applyBorder="1" applyAlignment="1"/>
    <xf numFmtId="167" fontId="9" fillId="2" borderId="3" xfId="3" applyFont="1" applyFill="1" applyBorder="1" applyAlignment="1"/>
    <xf numFmtId="0" fontId="4" fillId="2" borderId="38" xfId="2" applyFont="1" applyFill="1" applyBorder="1" applyAlignment="1">
      <alignment horizontal="left"/>
    </xf>
    <xf numFmtId="0" fontId="7" fillId="2" borderId="51" xfId="2" applyFont="1" applyFill="1" applyBorder="1"/>
    <xf numFmtId="167" fontId="9" fillId="2" borderId="1" xfId="3" applyFont="1" applyFill="1" applyBorder="1" applyAlignment="1"/>
    <xf numFmtId="167" fontId="4" fillId="2" borderId="1" xfId="3" applyFont="1" applyFill="1" applyBorder="1" applyAlignment="1">
      <alignment horizontal="center"/>
    </xf>
    <xf numFmtId="167" fontId="4" fillId="2" borderId="28" xfId="3" applyFont="1" applyFill="1" applyBorder="1" applyAlignment="1">
      <alignment horizontal="center"/>
    </xf>
    <xf numFmtId="167" fontId="4" fillId="2" borderId="3" xfId="3" applyFont="1" applyFill="1" applyBorder="1" applyAlignment="1">
      <alignment horizontal="center"/>
    </xf>
    <xf numFmtId="0" fontId="11" fillId="0" borderId="1" xfId="0" applyFont="1" applyBorder="1" applyAlignment="1">
      <alignment horizontal="center" wrapText="1"/>
    </xf>
    <xf numFmtId="172" fontId="11" fillId="0" borderId="3" xfId="0" applyNumberFormat="1" applyFont="1" applyBorder="1" applyAlignment="1">
      <alignment horizontal="right"/>
    </xf>
    <xf numFmtId="167" fontId="4" fillId="0" borderId="0" xfId="2" applyNumberFormat="1" applyFont="1"/>
    <xf numFmtId="171" fontId="4" fillId="2" borderId="60" xfId="1" applyNumberFormat="1" applyFont="1" applyFill="1" applyBorder="1" applyAlignment="1"/>
    <xf numFmtId="171" fontId="4" fillId="2" borderId="46" xfId="1" applyNumberFormat="1" applyFont="1" applyFill="1" applyBorder="1" applyAlignment="1"/>
    <xf numFmtId="171" fontId="4" fillId="2" borderId="48" xfId="1" applyNumberFormat="1" applyFont="1" applyFill="1" applyBorder="1" applyAlignment="1"/>
    <xf numFmtId="167" fontId="4" fillId="2" borderId="49" xfId="2" applyNumberFormat="1" applyFont="1" applyFill="1" applyBorder="1"/>
    <xf numFmtId="167" fontId="4" fillId="2" borderId="45" xfId="2" applyNumberFormat="1" applyFont="1" applyFill="1" applyBorder="1"/>
    <xf numFmtId="167" fontId="4" fillId="2" borderId="48" xfId="3" applyFont="1" applyFill="1" applyBorder="1" applyAlignment="1"/>
    <xf numFmtId="167" fontId="4" fillId="2" borderId="46" xfId="3" applyFont="1" applyFill="1" applyBorder="1" applyAlignment="1"/>
    <xf numFmtId="167" fontId="4" fillId="2" borderId="50" xfId="3" applyFont="1" applyFill="1" applyBorder="1" applyAlignment="1"/>
    <xf numFmtId="171" fontId="4" fillId="2" borderId="4" xfId="1" applyNumberFormat="1" applyFont="1" applyFill="1" applyBorder="1" applyAlignment="1"/>
    <xf numFmtId="171" fontId="4" fillId="2" borderId="53" xfId="1" applyNumberFormat="1" applyFont="1" applyFill="1" applyBorder="1" applyAlignment="1"/>
    <xf numFmtId="171" fontId="4" fillId="2" borderId="61" xfId="1" applyNumberFormat="1" applyFont="1" applyFill="1" applyBorder="1" applyAlignment="1"/>
    <xf numFmtId="167" fontId="4" fillId="2" borderId="58" xfId="2" applyNumberFormat="1" applyFont="1" applyFill="1" applyBorder="1"/>
    <xf numFmtId="167" fontId="4" fillId="2" borderId="62" xfId="2" applyNumberFormat="1" applyFont="1" applyFill="1" applyBorder="1"/>
    <xf numFmtId="167" fontId="4" fillId="2" borderId="61" xfId="3" applyFont="1" applyFill="1" applyBorder="1" applyAlignment="1"/>
    <xf numFmtId="167" fontId="4" fillId="2" borderId="53" xfId="3" applyFont="1" applyFill="1" applyBorder="1" applyAlignment="1"/>
    <xf numFmtId="167" fontId="4" fillId="2" borderId="51" xfId="3" applyFont="1" applyFill="1" applyBorder="1" applyAlignment="1"/>
    <xf numFmtId="167" fontId="4" fillId="2" borderId="37" xfId="3" applyFont="1" applyFill="1" applyBorder="1" applyAlignment="1"/>
    <xf numFmtId="167" fontId="4" fillId="2" borderId="49" xfId="3" applyFont="1" applyFill="1" applyBorder="1" applyAlignment="1"/>
    <xf numFmtId="167" fontId="4" fillId="2" borderId="45" xfId="3" applyFont="1" applyFill="1" applyBorder="1" applyAlignment="1"/>
    <xf numFmtId="167" fontId="4" fillId="2" borderId="63" xfId="3" applyFont="1" applyFill="1" applyBorder="1" applyAlignment="1"/>
    <xf numFmtId="167" fontId="4" fillId="2" borderId="62" xfId="3" applyFont="1" applyFill="1" applyBorder="1" applyAlignment="1"/>
    <xf numFmtId="167" fontId="9" fillId="2" borderId="49" xfId="3" applyFont="1" applyFill="1" applyBorder="1" applyAlignment="1"/>
    <xf numFmtId="167" fontId="9" fillId="2" borderId="45" xfId="3" applyFont="1" applyFill="1" applyBorder="1" applyAlignment="1"/>
    <xf numFmtId="167" fontId="9" fillId="2" borderId="64" xfId="3" applyFont="1" applyFill="1" applyBorder="1" applyAlignment="1"/>
    <xf numFmtId="167" fontId="9" fillId="2" borderId="48" xfId="3" applyFont="1" applyFill="1" applyBorder="1" applyAlignment="1"/>
    <xf numFmtId="167" fontId="9" fillId="2" borderId="37" xfId="3" applyFont="1" applyFill="1" applyBorder="1" applyAlignment="1"/>
    <xf numFmtId="167" fontId="9" fillId="2" borderId="63" xfId="3" applyFont="1" applyFill="1" applyBorder="1" applyAlignment="1"/>
    <xf numFmtId="167" fontId="9" fillId="2" borderId="50" xfId="3" applyFont="1" applyFill="1" applyBorder="1" applyAlignment="1"/>
    <xf numFmtId="167" fontId="4" fillId="2" borderId="64" xfId="3" applyFont="1" applyFill="1" applyBorder="1" applyAlignment="1">
      <alignment horizontal="center"/>
    </xf>
    <xf numFmtId="167" fontId="4" fillId="2" borderId="6" xfId="3" applyFont="1" applyFill="1" applyBorder="1" applyAlignment="1">
      <alignment horizontal="center"/>
    </xf>
    <xf numFmtId="167" fontId="9" fillId="2" borderId="54" xfId="3" applyFont="1" applyFill="1" applyBorder="1" applyAlignment="1"/>
    <xf numFmtId="167" fontId="9" fillId="2" borderId="62" xfId="3" applyFont="1" applyFill="1" applyBorder="1" applyAlignment="1"/>
    <xf numFmtId="167" fontId="9" fillId="2" borderId="61" xfId="3" applyFont="1" applyFill="1" applyBorder="1" applyAlignment="1"/>
    <xf numFmtId="167" fontId="9" fillId="2" borderId="58" xfId="3" applyFont="1" applyFill="1" applyBorder="1" applyAlignment="1"/>
    <xf numFmtId="167" fontId="9" fillId="2" borderId="56" xfId="3" applyFont="1" applyFill="1" applyBorder="1" applyAlignment="1"/>
    <xf numFmtId="167" fontId="9" fillId="2" borderId="51" xfId="3" applyFont="1" applyFill="1" applyBorder="1" applyAlignment="1"/>
    <xf numFmtId="170" fontId="4" fillId="2" borderId="37" xfId="3" applyNumberFormat="1" applyFont="1" applyFill="1" applyBorder="1" applyAlignment="1"/>
    <xf numFmtId="170" fontId="4" fillId="2" borderId="49" xfId="3" applyNumberFormat="1" applyFont="1" applyFill="1" applyBorder="1" applyAlignment="1"/>
    <xf numFmtId="170" fontId="4" fillId="2" borderId="45" xfId="3" applyNumberFormat="1" applyFont="1" applyFill="1" applyBorder="1" applyAlignment="1"/>
    <xf numFmtId="170" fontId="7" fillId="2" borderId="64" xfId="2" applyNumberFormat="1" applyFont="1" applyFill="1" applyBorder="1"/>
    <xf numFmtId="170" fontId="7" fillId="2" borderId="64" xfId="3" applyNumberFormat="1" applyFont="1" applyFill="1" applyBorder="1" applyAlignment="1"/>
    <xf numFmtId="172" fontId="11" fillId="5" borderId="28" xfId="0" applyNumberFormat="1" applyFont="1" applyFill="1" applyBorder="1" applyAlignment="1">
      <alignment horizontal="right"/>
    </xf>
    <xf numFmtId="10" fontId="11" fillId="0" borderId="0" xfId="7" applyNumberFormat="1" applyFont="1"/>
    <xf numFmtId="173" fontId="11" fillId="5" borderId="0" xfId="0" applyNumberFormat="1" applyFont="1" applyFill="1"/>
    <xf numFmtId="0" fontId="11" fillId="5" borderId="0" xfId="0" applyFont="1" applyFill="1"/>
    <xf numFmtId="0" fontId="16" fillId="2" borderId="0" xfId="2" applyFont="1" applyFill="1" applyAlignment="1">
      <alignment horizontal="center"/>
    </xf>
    <xf numFmtId="0" fontId="16" fillId="0" borderId="0" xfId="2" applyFont="1"/>
    <xf numFmtId="169" fontId="16" fillId="0" borderId="0" xfId="2" applyNumberFormat="1" applyFont="1"/>
    <xf numFmtId="10" fontId="4" fillId="0" borderId="0" xfId="7" applyNumberFormat="1" applyFont="1" applyBorder="1"/>
    <xf numFmtId="0" fontId="4" fillId="0" borderId="2" xfId="2" applyFont="1" applyBorder="1" applyAlignment="1">
      <alignment horizontal="centerContinuous" vertical="center"/>
    </xf>
    <xf numFmtId="0" fontId="4" fillId="0" borderId="3" xfId="2" applyFont="1" applyBorder="1" applyAlignment="1">
      <alignment horizontal="left" vertical="center"/>
    </xf>
    <xf numFmtId="0" fontId="4" fillId="0" borderId="28" xfId="2" applyFont="1" applyBorder="1" applyAlignment="1">
      <alignment horizontal="center" wrapText="1"/>
    </xf>
    <xf numFmtId="10" fontId="11" fillId="5" borderId="0" xfId="7" applyNumberFormat="1" applyFont="1" applyFill="1"/>
    <xf numFmtId="0" fontId="15" fillId="0" borderId="0" xfId="0" applyFont="1"/>
    <xf numFmtId="0" fontId="18" fillId="0" borderId="0" xfId="0" applyFont="1"/>
    <xf numFmtId="167" fontId="7" fillId="0" borderId="65" xfId="2" applyNumberFormat="1" applyFont="1" applyBorder="1"/>
    <xf numFmtId="0" fontId="0" fillId="0" borderId="0" xfId="0" applyAlignment="1">
      <alignment horizontal="center"/>
    </xf>
    <xf numFmtId="2" fontId="0" fillId="0" borderId="0" xfId="0" applyNumberFormat="1" applyAlignment="1">
      <alignment horizontal="center"/>
    </xf>
    <xf numFmtId="0" fontId="19" fillId="0" borderId="0" xfId="0" applyFont="1"/>
    <xf numFmtId="0" fontId="20" fillId="0" borderId="0" xfId="0" applyFont="1"/>
    <xf numFmtId="0" fontId="21" fillId="0" borderId="0" xfId="0" applyFont="1"/>
    <xf numFmtId="0" fontId="4" fillId="6" borderId="0" xfId="2" applyFont="1" applyFill="1"/>
    <xf numFmtId="0" fontId="4" fillId="3" borderId="0" xfId="2" applyFont="1" applyFill="1"/>
    <xf numFmtId="0" fontId="4" fillId="7" borderId="0" xfId="2" applyFont="1" applyFill="1"/>
    <xf numFmtId="10" fontId="11" fillId="7" borderId="0" xfId="7" applyNumberFormat="1" applyFont="1" applyFill="1"/>
    <xf numFmtId="0" fontId="4" fillId="8" borderId="28" xfId="5" applyFont="1" applyFill="1" applyBorder="1"/>
    <xf numFmtId="171" fontId="4" fillId="8" borderId="28" xfId="5" applyNumberFormat="1" applyFont="1" applyFill="1" applyBorder="1"/>
    <xf numFmtId="171" fontId="1" fillId="8" borderId="28" xfId="6" applyNumberFormat="1" applyFont="1" applyFill="1" applyBorder="1" applyAlignment="1"/>
    <xf numFmtId="172" fontId="11" fillId="8" borderId="28" xfId="4" applyNumberFormat="1" applyFont="1" applyFill="1" applyBorder="1" applyAlignment="1">
      <alignment horizontal="right" wrapText="1"/>
    </xf>
    <xf numFmtId="172" fontId="11" fillId="8" borderId="28" xfId="0" applyNumberFormat="1" applyFont="1" applyFill="1" applyBorder="1" applyAlignment="1">
      <alignment horizontal="right"/>
    </xf>
    <xf numFmtId="0" fontId="4" fillId="8" borderId="0" xfId="2" applyFont="1" applyFill="1"/>
    <xf numFmtId="0" fontId="0" fillId="4" borderId="0" xfId="0" applyFill="1"/>
    <xf numFmtId="172" fontId="11" fillId="4" borderId="28" xfId="4" applyNumberFormat="1" applyFont="1" applyFill="1" applyBorder="1" applyAlignment="1">
      <alignment horizontal="right" wrapText="1"/>
    </xf>
    <xf numFmtId="171" fontId="1" fillId="4" borderId="28" xfId="6" applyNumberFormat="1" applyFont="1" applyFill="1" applyBorder="1" applyAlignment="1"/>
    <xf numFmtId="2" fontId="0" fillId="4" borderId="0" xfId="0" applyNumberFormat="1" applyFill="1"/>
    <xf numFmtId="2" fontId="0" fillId="4" borderId="25" xfId="0" applyNumberFormat="1" applyFill="1" applyBorder="1"/>
    <xf numFmtId="9" fontId="0" fillId="4" borderId="0" xfId="7" applyFont="1" applyFill="1"/>
    <xf numFmtId="9" fontId="0" fillId="4" borderId="0" xfId="8" applyNumberFormat="1" applyFont="1" applyFill="1"/>
    <xf numFmtId="2" fontId="11" fillId="0" borderId="0" xfId="0" applyNumberFormat="1" applyFont="1"/>
    <xf numFmtId="10" fontId="11" fillId="0" borderId="0" xfId="8" applyNumberFormat="1" applyFont="1"/>
    <xf numFmtId="0" fontId="11" fillId="5" borderId="4" xfId="0" applyFont="1" applyFill="1" applyBorder="1" applyAlignment="1">
      <alignment horizontal="left" wrapText="1"/>
    </xf>
    <xf numFmtId="0" fontId="11" fillId="5" borderId="28" xfId="0" applyFont="1" applyFill="1" applyBorder="1" applyAlignment="1">
      <alignment vertical="top" wrapText="1"/>
    </xf>
    <xf numFmtId="0" fontId="11" fillId="5" borderId="28" xfId="0" applyFont="1" applyFill="1" applyBorder="1" applyAlignment="1">
      <alignment horizontal="center" wrapText="1"/>
    </xf>
    <xf numFmtId="172" fontId="11" fillId="5" borderId="28" xfId="0" applyNumberFormat="1" applyFont="1" applyFill="1" applyBorder="1" applyAlignment="1">
      <alignment horizontal="right" wrapText="1"/>
    </xf>
    <xf numFmtId="172" fontId="11" fillId="5" borderId="52" xfId="4" applyNumberFormat="1" applyFont="1" applyFill="1" applyBorder="1" applyAlignment="1">
      <alignment horizontal="right" wrapText="1"/>
    </xf>
    <xf numFmtId="172" fontId="11" fillId="5" borderId="51" xfId="0" applyNumberFormat="1" applyFont="1" applyFill="1" applyBorder="1" applyAlignment="1">
      <alignment horizontal="right"/>
    </xf>
    <xf numFmtId="2" fontId="11" fillId="0" borderId="28" xfId="4" applyNumberFormat="1" applyFont="1" applyBorder="1" applyAlignment="1">
      <alignment horizontal="right" wrapText="1"/>
    </xf>
    <xf numFmtId="0" fontId="7" fillId="0" borderId="1" xfId="2" applyFont="1" applyBorder="1" applyAlignment="1">
      <alignment horizontal="left" vertical="center" wrapText="1"/>
    </xf>
    <xf numFmtId="0" fontId="4" fillId="0" borderId="23" xfId="2" applyFont="1" applyBorder="1"/>
    <xf numFmtId="0" fontId="4" fillId="0" borderId="15" xfId="2" applyFont="1" applyBorder="1"/>
    <xf numFmtId="0" fontId="4" fillId="0" borderId="25" xfId="2" applyFont="1" applyBorder="1"/>
    <xf numFmtId="4" fontId="0" fillId="0" borderId="0" xfId="0" applyNumberFormat="1" applyAlignment="1">
      <alignment horizontal="center"/>
    </xf>
    <xf numFmtId="4" fontId="11" fillId="0" borderId="0" xfId="0" applyNumberFormat="1" applyFont="1" applyAlignment="1">
      <alignment horizontal="center"/>
    </xf>
    <xf numFmtId="4" fontId="11" fillId="0" borderId="0" xfId="4" applyNumberFormat="1" applyFont="1" applyBorder="1" applyAlignment="1">
      <alignment horizontal="center" wrapText="1"/>
    </xf>
    <xf numFmtId="0" fontId="20" fillId="0" borderId="0" xfId="0" applyFont="1" applyAlignment="1">
      <alignment horizontal="center"/>
    </xf>
    <xf numFmtId="0" fontId="15" fillId="0" borderId="0" xfId="0" applyFont="1" applyAlignment="1">
      <alignment horizontal="center"/>
    </xf>
    <xf numFmtId="4" fontId="15" fillId="0" borderId="0" xfId="0" applyNumberFormat="1" applyFont="1" applyAlignment="1">
      <alignment horizontal="center"/>
    </xf>
    <xf numFmtId="167" fontId="4" fillId="2" borderId="0" xfId="2" applyNumberFormat="1" applyFont="1" applyFill="1"/>
    <xf numFmtId="0" fontId="6" fillId="0" borderId="0" xfId="2" applyFont="1"/>
    <xf numFmtId="10" fontId="0" fillId="0" borderId="0" xfId="7" applyNumberFormat="1" applyFont="1"/>
    <xf numFmtId="10" fontId="20" fillId="0" borderId="0" xfId="0" applyNumberFormat="1" applyFont="1"/>
    <xf numFmtId="10" fontId="0" fillId="0" borderId="0" xfId="0" applyNumberFormat="1"/>
    <xf numFmtId="10" fontId="21" fillId="0" borderId="0" xfId="0" applyNumberFormat="1" applyFont="1"/>
    <xf numFmtId="0" fontId="22" fillId="0" borderId="0" xfId="2" applyFont="1" applyAlignment="1">
      <alignment horizontal="left" vertical="center"/>
    </xf>
    <xf numFmtId="0" fontId="15" fillId="0" borderId="0" xfId="0" applyFont="1" applyAlignment="1">
      <alignment wrapText="1"/>
    </xf>
    <xf numFmtId="9" fontId="0" fillId="0" borderId="0" xfId="0" applyNumberFormat="1"/>
    <xf numFmtId="0" fontId="4" fillId="0" borderId="66" xfId="5" applyFont="1" applyBorder="1" applyAlignment="1">
      <alignment horizontal="left"/>
    </xf>
    <xf numFmtId="0" fontId="4" fillId="0" borderId="66" xfId="5" applyFont="1" applyBorder="1" applyAlignment="1">
      <alignment horizontal="left" wrapText="1"/>
    </xf>
    <xf numFmtId="2" fontId="0" fillId="0" borderId="0" xfId="0" applyNumberFormat="1"/>
    <xf numFmtId="0" fontId="22" fillId="4" borderId="0" xfId="2" applyFont="1" applyFill="1" applyAlignment="1">
      <alignment horizontal="left" vertical="center"/>
    </xf>
    <xf numFmtId="0" fontId="22" fillId="5" borderId="0" xfId="2" applyFont="1" applyFill="1" applyAlignment="1">
      <alignment horizontal="left" vertical="center"/>
    </xf>
    <xf numFmtId="0" fontId="22" fillId="7" borderId="0" xfId="2" applyFont="1" applyFill="1" applyAlignment="1">
      <alignment horizontal="left" vertical="center"/>
    </xf>
    <xf numFmtId="172" fontId="0" fillId="0" borderId="0" xfId="0" applyNumberFormat="1"/>
    <xf numFmtId="0" fontId="7" fillId="4" borderId="28" xfId="2" applyFont="1" applyFill="1" applyBorder="1" applyAlignment="1">
      <alignment horizontal="center" wrapText="1"/>
    </xf>
    <xf numFmtId="168" fontId="0" fillId="0" borderId="0" xfId="8" applyFont="1"/>
    <xf numFmtId="9" fontId="0" fillId="0" borderId="0" xfId="7" applyFont="1"/>
    <xf numFmtId="168" fontId="0" fillId="0" borderId="0" xfId="0" applyNumberFormat="1"/>
    <xf numFmtId="0" fontId="23" fillId="0" borderId="1" xfId="0" applyFont="1" applyBorder="1"/>
    <xf numFmtId="0" fontId="0" fillId="0" borderId="2" xfId="0" applyBorder="1"/>
    <xf numFmtId="0" fontId="0" fillId="0" borderId="3" xfId="0" applyBorder="1"/>
    <xf numFmtId="0" fontId="2" fillId="0" borderId="0" xfId="0" applyFont="1"/>
    <xf numFmtId="0" fontId="2" fillId="0" borderId="28" xfId="0" applyFont="1" applyBorder="1"/>
    <xf numFmtId="0" fontId="2" fillId="0" borderId="5" xfId="0" applyFont="1" applyBorder="1"/>
    <xf numFmtId="0" fontId="0" fillId="0" borderId="6" xfId="0" applyBorder="1"/>
    <xf numFmtId="0" fontId="0" fillId="0" borderId="7" xfId="0" applyBorder="1"/>
    <xf numFmtId="0" fontId="2" fillId="0" borderId="14" xfId="0" applyFont="1" applyBorder="1"/>
    <xf numFmtId="9" fontId="0" fillId="0" borderId="28" xfId="7" applyFont="1" applyBorder="1"/>
    <xf numFmtId="0" fontId="2" fillId="0" borderId="24" xfId="0" applyFont="1" applyBorder="1"/>
    <xf numFmtId="0" fontId="0" fillId="0" borderId="39" xfId="0" applyBorder="1"/>
    <xf numFmtId="9" fontId="0" fillId="0" borderId="4" xfId="7" applyFont="1" applyBorder="1"/>
    <xf numFmtId="3" fontId="0" fillId="0" borderId="4" xfId="0" applyNumberFormat="1" applyBorder="1"/>
    <xf numFmtId="41" fontId="0" fillId="0" borderId="51" xfId="0" applyNumberFormat="1" applyBorder="1"/>
    <xf numFmtId="41" fontId="0" fillId="0" borderId="52" xfId="0" applyNumberFormat="1" applyBorder="1"/>
    <xf numFmtId="0" fontId="2" fillId="0" borderId="1" xfId="0" applyFont="1" applyBorder="1"/>
    <xf numFmtId="0" fontId="23" fillId="0" borderId="5" xfId="0" applyFont="1" applyBorder="1"/>
    <xf numFmtId="3" fontId="23" fillId="0" borderId="5" xfId="0" applyNumberFormat="1" applyFont="1" applyBorder="1"/>
    <xf numFmtId="9" fontId="0" fillId="0" borderId="51" xfId="7" applyFont="1" applyBorder="1"/>
    <xf numFmtId="3" fontId="23" fillId="0" borderId="28" xfId="0" applyNumberFormat="1" applyFont="1" applyBorder="1"/>
    <xf numFmtId="0" fontId="23" fillId="0" borderId="0" xfId="0" applyFont="1"/>
    <xf numFmtId="2" fontId="23" fillId="0" borderId="0" xfId="0" applyNumberFormat="1" applyFont="1"/>
    <xf numFmtId="0" fontId="24" fillId="2" borderId="0" xfId="2" applyFont="1" applyFill="1"/>
    <xf numFmtId="168" fontId="2" fillId="0" borderId="0" xfId="8" applyFont="1"/>
    <xf numFmtId="168" fontId="2" fillId="0" borderId="28" xfId="8" applyFont="1" applyBorder="1"/>
    <xf numFmtId="168" fontId="0" fillId="0" borderId="45" xfId="8" applyFont="1" applyBorder="1"/>
    <xf numFmtId="168" fontId="0" fillId="0" borderId="46" xfId="8" applyFont="1" applyBorder="1"/>
    <xf numFmtId="168" fontId="0" fillId="0" borderId="48" xfId="8" applyFont="1" applyBorder="1"/>
    <xf numFmtId="9" fontId="0" fillId="0" borderId="53" xfId="7" applyFont="1" applyBorder="1"/>
    <xf numFmtId="9" fontId="0" fillId="0" borderId="21" xfId="7" applyFont="1" applyBorder="1"/>
    <xf numFmtId="9" fontId="0" fillId="0" borderId="35" xfId="7" applyFont="1" applyBorder="1"/>
    <xf numFmtId="9" fontId="0" fillId="0" borderId="31" xfId="7" applyFont="1" applyBorder="1"/>
    <xf numFmtId="41" fontId="0" fillId="0" borderId="0" xfId="0" applyNumberFormat="1"/>
    <xf numFmtId="3" fontId="25" fillId="0" borderId="24" xfId="0" applyNumberFormat="1" applyFont="1" applyBorder="1"/>
    <xf numFmtId="0" fontId="4" fillId="2" borderId="41" xfId="3" applyNumberFormat="1" applyFont="1" applyFill="1" applyBorder="1" applyAlignment="1">
      <alignment horizontal="center"/>
    </xf>
    <xf numFmtId="0" fontId="4" fillId="2" borderId="41" xfId="3" applyNumberFormat="1" applyFont="1" applyFill="1" applyBorder="1" applyAlignment="1"/>
    <xf numFmtId="0" fontId="4" fillId="2" borderId="13" xfId="3" applyNumberFormat="1" applyFont="1" applyFill="1" applyBorder="1" applyAlignment="1"/>
    <xf numFmtId="0" fontId="4" fillId="2" borderId="18" xfId="3" applyNumberFormat="1" applyFont="1" applyFill="1" applyBorder="1" applyAlignment="1"/>
    <xf numFmtId="0" fontId="4" fillId="2" borderId="0" xfId="3" applyNumberFormat="1" applyFont="1" applyFill="1" applyAlignment="1"/>
    <xf numFmtId="0" fontId="11" fillId="0" borderId="28" xfId="0" applyFont="1" applyBorder="1" applyAlignment="1">
      <alignment horizontal="right"/>
    </xf>
    <xf numFmtId="0" fontId="1" fillId="0" borderId="28" xfId="6" applyNumberFormat="1" applyFont="1" applyBorder="1" applyAlignment="1"/>
    <xf numFmtId="0" fontId="1" fillId="0" borderId="39" xfId="6" applyNumberFormat="1" applyFont="1" applyBorder="1" applyAlignment="1"/>
    <xf numFmtId="0" fontId="11" fillId="0" borderId="28" xfId="4" applyNumberFormat="1" applyFont="1" applyBorder="1" applyAlignment="1">
      <alignment horizontal="right" wrapText="1"/>
    </xf>
    <xf numFmtId="2" fontId="9" fillId="2" borderId="54" xfId="3" applyNumberFormat="1" applyFont="1" applyFill="1" applyBorder="1" applyAlignment="1"/>
    <xf numFmtId="2" fontId="11" fillId="0" borderId="28" xfId="0" applyNumberFormat="1" applyFont="1" applyBorder="1" applyAlignment="1">
      <alignment horizontal="center"/>
    </xf>
    <xf numFmtId="2" fontId="11" fillId="0" borderId="28" xfId="0" applyNumberFormat="1" applyFont="1" applyBorder="1" applyAlignment="1">
      <alignment horizontal="right"/>
    </xf>
    <xf numFmtId="2" fontId="1" fillId="0" borderId="28" xfId="6" applyNumberFormat="1" applyFont="1" applyBorder="1" applyAlignment="1"/>
    <xf numFmtId="173" fontId="11" fillId="0" borderId="28" xfId="4" applyNumberFormat="1" applyFont="1" applyBorder="1" applyAlignment="1">
      <alignment horizontal="right" wrapText="1"/>
    </xf>
    <xf numFmtId="2" fontId="11" fillId="3" borderId="28" xfId="0" applyNumberFormat="1" applyFont="1" applyFill="1" applyBorder="1" applyAlignment="1">
      <alignment horizontal="right"/>
    </xf>
    <xf numFmtId="0" fontId="11" fillId="3" borderId="28" xfId="0" applyFont="1" applyFill="1" applyBorder="1" applyAlignment="1">
      <alignment horizontal="center"/>
    </xf>
    <xf numFmtId="2" fontId="11" fillId="3" borderId="28" xfId="0" applyNumberFormat="1" applyFont="1" applyFill="1" applyBorder="1" applyAlignment="1">
      <alignment horizontal="center"/>
    </xf>
    <xf numFmtId="0" fontId="11" fillId="3" borderId="28" xfId="0" applyFont="1" applyFill="1" applyBorder="1" applyAlignment="1">
      <alignment vertical="top" wrapText="1"/>
    </xf>
    <xf numFmtId="0" fontId="11" fillId="3" borderId="28" xfId="0" applyFont="1" applyFill="1" applyBorder="1" applyAlignment="1">
      <alignment horizontal="left" wrapText="1"/>
    </xf>
    <xf numFmtId="0" fontId="11" fillId="3" borderId="0" xfId="0" applyFont="1" applyFill="1" applyAlignment="1">
      <alignment wrapText="1"/>
    </xf>
    <xf numFmtId="0" fontId="11" fillId="3" borderId="0" xfId="0" applyFont="1" applyFill="1" applyAlignment="1">
      <alignment horizontal="center"/>
    </xf>
    <xf numFmtId="0" fontId="11" fillId="3" borderId="0" xfId="0" applyFont="1" applyFill="1"/>
    <xf numFmtId="0" fontId="7" fillId="3" borderId="4" xfId="2" applyFont="1" applyFill="1" applyBorder="1" applyAlignment="1">
      <alignment horizontal="center" wrapText="1"/>
    </xf>
    <xf numFmtId="0" fontId="12" fillId="3" borderId="28" xfId="0" applyFont="1" applyFill="1" applyBorder="1" applyAlignment="1">
      <alignment horizontal="left"/>
    </xf>
    <xf numFmtId="0" fontId="13" fillId="3" borderId="28" xfId="0" applyFont="1" applyFill="1" applyBorder="1" applyAlignment="1">
      <alignment horizontal="left" wrapText="1"/>
    </xf>
    <xf numFmtId="0" fontId="12" fillId="3" borderId="28" xfId="0" applyFont="1" applyFill="1" applyBorder="1" applyAlignment="1">
      <alignment horizontal="center" wrapText="1"/>
    </xf>
    <xf numFmtId="0" fontId="12" fillId="3" borderId="28" xfId="0" applyFont="1" applyFill="1" applyBorder="1" applyAlignment="1">
      <alignment horizontal="left" wrapText="1"/>
    </xf>
    <xf numFmtId="0" fontId="12" fillId="3" borderId="28" xfId="0" applyFont="1" applyFill="1" applyBorder="1" applyAlignment="1">
      <alignment vertical="top" wrapText="1"/>
    </xf>
    <xf numFmtId="0" fontId="12" fillId="3" borderId="28" xfId="0" applyFont="1" applyFill="1" applyBorder="1" applyAlignment="1">
      <alignment horizontal="center" vertical="top" wrapText="1"/>
    </xf>
    <xf numFmtId="0" fontId="11" fillId="3" borderId="28" xfId="0" applyFont="1" applyFill="1" applyBorder="1" applyAlignment="1">
      <alignment horizontal="center" vertical="top" wrapText="1"/>
    </xf>
    <xf numFmtId="0" fontId="11" fillId="3" borderId="28" xfId="0" applyFont="1" applyFill="1" applyBorder="1" applyAlignment="1">
      <alignment horizontal="left" vertical="top" wrapText="1"/>
    </xf>
    <xf numFmtId="41" fontId="0" fillId="0" borderId="53" xfId="0" applyNumberFormat="1" applyBorder="1"/>
    <xf numFmtId="9" fontId="0" fillId="0" borderId="28" xfId="7" applyFont="1" applyFill="1" applyBorder="1"/>
    <xf numFmtId="168" fontId="0" fillId="0" borderId="0" xfId="8" applyFont="1" applyFill="1"/>
    <xf numFmtId="3" fontId="0" fillId="0" borderId="28" xfId="0" applyNumberFormat="1" applyBorder="1"/>
    <xf numFmtId="0" fontId="26" fillId="0" borderId="0" xfId="0" applyFont="1" applyAlignment="1">
      <alignment horizontal="right"/>
    </xf>
    <xf numFmtId="0" fontId="0" fillId="0" borderId="0" xfId="0" applyAlignment="1">
      <alignment vertical="top"/>
    </xf>
    <xf numFmtId="172" fontId="0" fillId="0" borderId="0" xfId="0" applyNumberFormat="1" applyAlignment="1">
      <alignment vertical="top"/>
    </xf>
    <xf numFmtId="0" fontId="0" fillId="0" borderId="0" xfId="0" applyAlignment="1">
      <alignment horizontal="center" vertical="top"/>
    </xf>
    <xf numFmtId="0" fontId="26" fillId="0" borderId="0" xfId="0" applyFont="1"/>
    <xf numFmtId="0" fontId="26" fillId="0" borderId="72" xfId="0" applyFont="1" applyBorder="1" applyAlignment="1">
      <alignment horizontal="center" vertical="top" wrapText="1"/>
    </xf>
    <xf numFmtId="0" fontId="15" fillId="0" borderId="67" xfId="0" applyFont="1" applyBorder="1"/>
    <xf numFmtId="0" fontId="15" fillId="0" borderId="28" xfId="0" applyFont="1" applyBorder="1" applyAlignment="1">
      <alignment horizontal="center" vertical="top"/>
    </xf>
    <xf numFmtId="0" fontId="26" fillId="0" borderId="0" xfId="0" applyFont="1" applyAlignment="1">
      <alignment horizontal="center" vertical="top" wrapText="1"/>
    </xf>
    <xf numFmtId="0" fontId="15" fillId="0" borderId="8" xfId="0" applyFont="1" applyBorder="1"/>
    <xf numFmtId="0" fontId="15" fillId="0" borderId="9" xfId="0" applyFont="1" applyBorder="1"/>
    <xf numFmtId="10" fontId="15" fillId="0" borderId="5" xfId="0" applyNumberFormat="1" applyFont="1" applyBorder="1"/>
    <xf numFmtId="0" fontId="15" fillId="0" borderId="4" xfId="0" applyFont="1" applyBorder="1" applyAlignment="1">
      <alignment horizontal="center"/>
    </xf>
    <xf numFmtId="0" fontId="15" fillId="0" borderId="4" xfId="0" applyFont="1" applyBorder="1" applyAlignment="1">
      <alignment horizontal="center" vertical="top"/>
    </xf>
    <xf numFmtId="0" fontId="28" fillId="0" borderId="73" xfId="0" applyFont="1" applyBorder="1" applyAlignment="1">
      <alignment vertical="top" wrapText="1"/>
    </xf>
    <xf numFmtId="10" fontId="0" fillId="0" borderId="28" xfId="0" applyNumberFormat="1" applyBorder="1"/>
    <xf numFmtId="0" fontId="0" fillId="0" borderId="28" xfId="0" applyBorder="1"/>
    <xf numFmtId="0" fontId="28" fillId="0" borderId="75" xfId="0" applyFont="1" applyBorder="1" applyAlignment="1">
      <alignment vertical="top" wrapText="1"/>
    </xf>
    <xf numFmtId="10" fontId="0" fillId="0" borderId="0" xfId="0" applyNumberFormat="1" applyAlignment="1">
      <alignment vertical="top"/>
    </xf>
    <xf numFmtId="172" fontId="0" fillId="0" borderId="28" xfId="0" applyNumberFormat="1" applyBorder="1"/>
    <xf numFmtId="0" fontId="26" fillId="0" borderId="77" xfId="0" applyFont="1" applyBorder="1" applyAlignment="1">
      <alignment horizontal="center" vertical="top" wrapText="1"/>
    </xf>
    <xf numFmtId="10" fontId="0" fillId="0" borderId="28" xfId="0" applyNumberFormat="1" applyBorder="1" applyAlignment="1">
      <alignment horizontal="center"/>
    </xf>
    <xf numFmtId="0" fontId="0" fillId="0" borderId="28" xfId="0" applyBorder="1" applyAlignment="1">
      <alignment horizontal="center"/>
    </xf>
    <xf numFmtId="10" fontId="0" fillId="0" borderId="49" xfId="0" applyNumberFormat="1" applyBorder="1"/>
    <xf numFmtId="172" fontId="0" fillId="0" borderId="49" xfId="0" applyNumberFormat="1" applyBorder="1" applyAlignment="1">
      <alignment horizontal="center"/>
    </xf>
    <xf numFmtId="172" fontId="0" fillId="0" borderId="28" xfId="0" applyNumberFormat="1" applyBorder="1" applyAlignment="1">
      <alignment horizontal="center" vertical="top"/>
    </xf>
    <xf numFmtId="10" fontId="0" fillId="0" borderId="40" xfId="0" applyNumberFormat="1" applyBorder="1" applyAlignment="1">
      <alignment horizontal="center"/>
    </xf>
    <xf numFmtId="0" fontId="0" fillId="0" borderId="67" xfId="0" applyBorder="1"/>
    <xf numFmtId="172" fontId="0" fillId="0" borderId="4" xfId="0" applyNumberFormat="1" applyBorder="1"/>
    <xf numFmtId="10" fontId="0" fillId="0" borderId="51" xfId="0" applyNumberFormat="1" applyBorder="1"/>
    <xf numFmtId="0" fontId="0" fillId="0" borderId="51" xfId="0" applyBorder="1"/>
    <xf numFmtId="0" fontId="26" fillId="4" borderId="14" xfId="0" applyFont="1" applyFill="1" applyBorder="1" applyAlignment="1">
      <alignment horizontal="center" vertical="top" wrapText="1"/>
    </xf>
    <xf numFmtId="0" fontId="26" fillId="4" borderId="0" xfId="0" applyFont="1" applyFill="1" applyAlignment="1">
      <alignment horizontal="center" vertical="top" wrapText="1"/>
    </xf>
    <xf numFmtId="0" fontId="26" fillId="4" borderId="66" xfId="0" applyFont="1" applyFill="1" applyBorder="1" applyAlignment="1">
      <alignment horizontal="center" vertical="top" wrapText="1"/>
    </xf>
    <xf numFmtId="0" fontId="28" fillId="0" borderId="1" xfId="0" applyFont="1" applyBorder="1" applyAlignment="1">
      <alignment vertical="top" wrapText="1"/>
    </xf>
    <xf numFmtId="0" fontId="26" fillId="0" borderId="2" xfId="0" applyFont="1" applyBorder="1" applyAlignment="1">
      <alignment horizontal="center" vertical="top" wrapText="1"/>
    </xf>
    <xf numFmtId="10" fontId="0" fillId="0" borderId="2" xfId="0" applyNumberFormat="1" applyBorder="1"/>
    <xf numFmtId="0" fontId="0" fillId="0" borderId="2" xfId="0" applyBorder="1" applyAlignment="1">
      <alignment horizontal="center"/>
    </xf>
    <xf numFmtId="0" fontId="0" fillId="0" borderId="2" xfId="0" applyBorder="1" applyAlignment="1">
      <alignment horizontal="center" vertical="top"/>
    </xf>
    <xf numFmtId="0" fontId="0" fillId="0" borderId="3" xfId="0" applyBorder="1" applyAlignment="1">
      <alignment horizontal="center" vertical="top"/>
    </xf>
    <xf numFmtId="0" fontId="28" fillId="0" borderId="14" xfId="0" applyFont="1" applyBorder="1" applyAlignment="1">
      <alignment vertical="top" wrapText="1"/>
    </xf>
    <xf numFmtId="0" fontId="0" fillId="0" borderId="66" xfId="0" applyBorder="1" applyAlignment="1">
      <alignment horizontal="center" vertical="top"/>
    </xf>
    <xf numFmtId="0" fontId="0" fillId="0" borderId="49" xfId="0" applyBorder="1" applyAlignment="1">
      <alignment horizontal="center"/>
    </xf>
    <xf numFmtId="0" fontId="15" fillId="0" borderId="40" xfId="0" applyFont="1" applyBorder="1"/>
    <xf numFmtId="10" fontId="15" fillId="0" borderId="28" xfId="0" applyNumberFormat="1" applyFont="1" applyBorder="1"/>
    <xf numFmtId="0" fontId="15" fillId="0" borderId="28" xfId="0" applyFont="1" applyBorder="1"/>
    <xf numFmtId="10" fontId="15" fillId="0" borderId="4" xfId="0" applyNumberFormat="1" applyFont="1" applyBorder="1"/>
    <xf numFmtId="0" fontId="15" fillId="0" borderId="4" xfId="0" applyFont="1" applyBorder="1"/>
    <xf numFmtId="0" fontId="0" fillId="0" borderId="31" xfId="0" applyBorder="1"/>
    <xf numFmtId="0" fontId="0" fillId="0" borderId="51" xfId="0" applyBorder="1" applyAlignment="1">
      <alignment horizontal="center" vertical="top"/>
    </xf>
    <xf numFmtId="0" fontId="0" fillId="0" borderId="21" xfId="0" applyBorder="1"/>
    <xf numFmtId="0" fontId="0" fillId="0" borderId="28" xfId="0" applyBorder="1" applyAlignment="1">
      <alignment horizontal="center" vertical="top"/>
    </xf>
    <xf numFmtId="166" fontId="26" fillId="0" borderId="77" xfId="0" applyNumberFormat="1" applyFont="1" applyBorder="1" applyAlignment="1">
      <alignment horizontal="center" vertical="top" wrapText="1"/>
    </xf>
    <xf numFmtId="10" fontId="0" fillId="0" borderId="40" xfId="0" applyNumberFormat="1" applyBorder="1"/>
    <xf numFmtId="172" fontId="0" fillId="0" borderId="0" xfId="0" applyNumberFormat="1" applyAlignment="1">
      <alignment horizontal="center"/>
    </xf>
    <xf numFmtId="166" fontId="0" fillId="0" borderId="67" xfId="0" applyNumberFormat="1" applyBorder="1"/>
    <xf numFmtId="10" fontId="0" fillId="0" borderId="35" xfId="0" applyNumberFormat="1" applyBorder="1"/>
    <xf numFmtId="0" fontId="0" fillId="0" borderId="35" xfId="0" applyBorder="1"/>
    <xf numFmtId="0" fontId="26" fillId="0" borderId="81" xfId="0" applyFont="1" applyBorder="1" applyAlignment="1">
      <alignment vertical="top" wrapText="1"/>
    </xf>
    <xf numFmtId="0" fontId="28" fillId="0" borderId="75" xfId="0" applyFont="1" applyBorder="1" applyAlignment="1">
      <alignment horizontal="left" vertical="top" wrapText="1" indent="5"/>
    </xf>
    <xf numFmtId="0" fontId="28" fillId="0" borderId="73" xfId="0" applyFont="1" applyBorder="1" applyAlignment="1">
      <alignment horizontal="left" vertical="top" wrapText="1" indent="5"/>
    </xf>
    <xf numFmtId="10" fontId="0" fillId="0" borderId="8" xfId="0" applyNumberFormat="1" applyBorder="1"/>
    <xf numFmtId="0" fontId="0" fillId="0" borderId="9" xfId="0" applyBorder="1"/>
    <xf numFmtId="172" fontId="0" fillId="0" borderId="4" xfId="0" applyNumberFormat="1" applyBorder="1" applyAlignment="1">
      <alignment horizontal="center" vertical="top"/>
    </xf>
    <xf numFmtId="10" fontId="0" fillId="0" borderId="44" xfId="0" applyNumberFormat="1" applyBorder="1"/>
    <xf numFmtId="0" fontId="0" fillId="0" borderId="34" xfId="0" applyBorder="1"/>
    <xf numFmtId="172" fontId="0" fillId="0" borderId="51" xfId="0" applyNumberFormat="1" applyBorder="1" applyAlignment="1">
      <alignment horizontal="center" vertical="top"/>
    </xf>
    <xf numFmtId="172" fontId="0" fillId="0" borderId="51" xfId="0" applyNumberFormat="1" applyBorder="1"/>
    <xf numFmtId="10" fontId="0" fillId="0" borderId="31" xfId="0" applyNumberFormat="1" applyBorder="1"/>
    <xf numFmtId="10" fontId="0" fillId="0" borderId="21" xfId="0" applyNumberFormat="1" applyBorder="1"/>
    <xf numFmtId="0" fontId="26" fillId="0" borderId="73" xfId="0" applyFont="1" applyBorder="1" applyAlignment="1">
      <alignment vertical="top" wrapText="1"/>
    </xf>
    <xf numFmtId="0" fontId="0" fillId="0" borderId="64" xfId="0" applyBorder="1"/>
    <xf numFmtId="172" fontId="0" fillId="0" borderId="28" xfId="0" applyNumberFormat="1" applyBorder="1" applyAlignment="1">
      <alignment vertical="top"/>
    </xf>
    <xf numFmtId="0" fontId="0" fillId="0" borderId="48" xfId="0" applyBorder="1"/>
    <xf numFmtId="10" fontId="0" fillId="0" borderId="28" xfId="0" applyNumberFormat="1" applyBorder="1" applyAlignment="1">
      <alignment vertical="top"/>
    </xf>
    <xf numFmtId="0" fontId="0" fillId="0" borderId="28" xfId="0" applyBorder="1" applyAlignment="1">
      <alignment vertical="top"/>
    </xf>
    <xf numFmtId="0" fontId="26" fillId="0" borderId="75" xfId="0" applyFont="1" applyBorder="1" applyAlignment="1">
      <alignment vertical="top" wrapText="1"/>
    </xf>
    <xf numFmtId="10" fontId="0" fillId="0" borderId="17" xfId="0" applyNumberFormat="1" applyBorder="1"/>
    <xf numFmtId="0" fontId="0" fillId="0" borderId="49" xfId="0" applyBorder="1"/>
    <xf numFmtId="172" fontId="0" fillId="0" borderId="0" xfId="0" applyNumberFormat="1" applyAlignment="1">
      <alignment horizontal="center" vertical="top"/>
    </xf>
    <xf numFmtId="0" fontId="15" fillId="0" borderId="54" xfId="0" applyFont="1" applyBorder="1"/>
    <xf numFmtId="10" fontId="15" fillId="0" borderId="54" xfId="0" applyNumberFormat="1" applyFont="1" applyBorder="1"/>
    <xf numFmtId="10" fontId="15" fillId="0" borderId="0" xfId="0" applyNumberFormat="1" applyFont="1"/>
    <xf numFmtId="0" fontId="15" fillId="0" borderId="62" xfId="0" applyFont="1" applyBorder="1"/>
    <xf numFmtId="10" fontId="15" fillId="0" borderId="62" xfId="0" applyNumberFormat="1" applyFont="1" applyBorder="1"/>
    <xf numFmtId="10" fontId="0" fillId="0" borderId="69" xfId="0" applyNumberFormat="1" applyBorder="1"/>
    <xf numFmtId="0" fontId="0" fillId="0" borderId="45" xfId="0" applyBorder="1"/>
    <xf numFmtId="10" fontId="0" fillId="0" borderId="68" xfId="0" applyNumberFormat="1" applyBorder="1"/>
    <xf numFmtId="10" fontId="0" fillId="0" borderId="41" xfId="0" applyNumberFormat="1" applyBorder="1"/>
    <xf numFmtId="0" fontId="26" fillId="0" borderId="84" xfId="0" applyFont="1" applyBorder="1" applyAlignment="1">
      <alignment vertical="top" wrapText="1"/>
    </xf>
    <xf numFmtId="10" fontId="0" fillId="0" borderId="41" xfId="0" applyNumberFormat="1" applyBorder="1" applyAlignment="1">
      <alignment vertical="top"/>
    </xf>
    <xf numFmtId="10" fontId="0" fillId="0" borderId="35" xfId="0" applyNumberFormat="1" applyBorder="1" applyAlignment="1">
      <alignment vertical="top"/>
    </xf>
    <xf numFmtId="0" fontId="28" fillId="0" borderId="81" xfId="0" applyFont="1" applyBorder="1" applyAlignment="1">
      <alignment vertical="top" wrapText="1"/>
    </xf>
    <xf numFmtId="10" fontId="0" fillId="0" borderId="6" xfId="0" applyNumberFormat="1" applyBorder="1"/>
    <xf numFmtId="0" fontId="0" fillId="0" borderId="6" xfId="0" applyBorder="1" applyAlignment="1">
      <alignment horizontal="center"/>
    </xf>
    <xf numFmtId="0" fontId="0" fillId="0" borderId="6" xfId="0" applyBorder="1" applyAlignment="1">
      <alignment horizontal="center" vertical="top"/>
    </xf>
    <xf numFmtId="0" fontId="0" fillId="0" borderId="7" xfId="0" applyBorder="1" applyAlignment="1">
      <alignment horizontal="center" vertical="top"/>
    </xf>
    <xf numFmtId="10" fontId="0" fillId="0" borderId="39" xfId="0" applyNumberFormat="1" applyBorder="1"/>
    <xf numFmtId="0" fontId="0" fillId="0" borderId="39" xfId="0" applyBorder="1" applyAlignment="1">
      <alignment horizontal="center"/>
    </xf>
    <xf numFmtId="0" fontId="0" fillId="0" borderId="39" xfId="0" applyBorder="1" applyAlignment="1">
      <alignment horizontal="center" vertical="top"/>
    </xf>
    <xf numFmtId="0" fontId="0" fillId="0" borderId="52" xfId="0" applyBorder="1" applyAlignment="1">
      <alignment horizontal="center" vertical="top"/>
    </xf>
    <xf numFmtId="0" fontId="26" fillId="0" borderId="89" xfId="0" applyFont="1" applyBorder="1" applyAlignment="1">
      <alignment horizontal="center" vertical="top" wrapText="1"/>
    </xf>
    <xf numFmtId="0" fontId="26" fillId="0" borderId="90" xfId="0" applyFont="1" applyBorder="1" applyAlignment="1">
      <alignment horizontal="center" vertical="top" wrapText="1"/>
    </xf>
    <xf numFmtId="0" fontId="26" fillId="0" borderId="91" xfId="0" applyFont="1" applyBorder="1" applyAlignment="1">
      <alignment horizontal="center" vertical="top" wrapText="1"/>
    </xf>
    <xf numFmtId="0" fontId="28" fillId="4" borderId="0" xfId="0" applyFont="1" applyFill="1" applyAlignment="1">
      <alignment vertical="top" wrapText="1"/>
    </xf>
    <xf numFmtId="0" fontId="15" fillId="4" borderId="4" xfId="0" applyFont="1" applyFill="1" applyBorder="1" applyAlignment="1">
      <alignment horizontal="center" vertical="top"/>
    </xf>
    <xf numFmtId="0" fontId="0" fillId="4" borderId="0" xfId="0" applyFill="1" applyAlignment="1">
      <alignment wrapText="1"/>
    </xf>
    <xf numFmtId="0" fontId="15" fillId="4" borderId="53" xfId="0" applyFont="1" applyFill="1" applyBorder="1" applyAlignment="1">
      <alignment horizontal="center" vertical="top"/>
    </xf>
    <xf numFmtId="0" fontId="15" fillId="0" borderId="28" xfId="0" applyFont="1" applyBorder="1" applyAlignment="1">
      <alignment vertical="top" wrapText="1"/>
    </xf>
    <xf numFmtId="0" fontId="26" fillId="0" borderId="1" xfId="0" applyFont="1" applyBorder="1" applyAlignment="1">
      <alignment vertical="top" wrapText="1"/>
    </xf>
    <xf numFmtId="0" fontId="28" fillId="0" borderId="51" xfId="0" applyFont="1" applyBorder="1" applyAlignment="1">
      <alignment vertical="top" wrapText="1"/>
    </xf>
    <xf numFmtId="0" fontId="26" fillId="0" borderId="39" xfId="0" applyFont="1" applyBorder="1" applyAlignment="1">
      <alignment horizontal="center" vertical="top" wrapText="1"/>
    </xf>
    <xf numFmtId="0" fontId="0" fillId="0" borderId="51" xfId="0" applyBorder="1" applyAlignment="1">
      <alignment vertical="top" wrapText="1"/>
    </xf>
    <xf numFmtId="166" fontId="0" fillId="0" borderId="28" xfId="0" applyNumberFormat="1" applyBorder="1"/>
    <xf numFmtId="10" fontId="0" fillId="0" borderId="30" xfId="0" applyNumberFormat="1" applyBorder="1"/>
    <xf numFmtId="10" fontId="0" fillId="0" borderId="20" xfId="0" applyNumberFormat="1" applyBorder="1"/>
    <xf numFmtId="10" fontId="0" fillId="0" borderId="43" xfId="0" applyNumberFormat="1" applyBorder="1"/>
    <xf numFmtId="0" fontId="28" fillId="0" borderId="84" xfId="0" applyFont="1" applyBorder="1" applyAlignment="1">
      <alignment vertical="top" wrapText="1"/>
    </xf>
    <xf numFmtId="0" fontId="26" fillId="4" borderId="5" xfId="0" applyFont="1" applyFill="1" applyBorder="1" applyAlignment="1">
      <alignment vertical="center" wrapText="1"/>
    </xf>
    <xf numFmtId="0" fontId="26" fillId="4" borderId="14" xfId="0" applyFont="1" applyFill="1" applyBorder="1" applyAlignment="1">
      <alignment vertical="center" wrapText="1"/>
    </xf>
    <xf numFmtId="0" fontId="26" fillId="4" borderId="24" xfId="0" applyFont="1" applyFill="1" applyBorder="1" applyAlignment="1">
      <alignment vertical="center" wrapText="1"/>
    </xf>
    <xf numFmtId="0" fontId="28" fillId="0" borderId="51" xfId="0" applyFont="1" applyBorder="1" applyAlignment="1">
      <alignment vertical="center" wrapText="1"/>
    </xf>
    <xf numFmtId="0" fontId="0" fillId="4" borderId="53" xfId="0" applyFill="1" applyBorder="1"/>
    <xf numFmtId="10" fontId="15" fillId="4" borderId="53" xfId="0" applyNumberFormat="1" applyFont="1" applyFill="1" applyBorder="1"/>
    <xf numFmtId="0" fontId="15" fillId="4" borderId="14" xfId="0" applyFont="1" applyFill="1" applyBorder="1" applyAlignment="1">
      <alignment horizontal="center" vertical="top"/>
    </xf>
    <xf numFmtId="10" fontId="15" fillId="4" borderId="0" xfId="0" applyNumberFormat="1" applyFont="1" applyFill="1"/>
    <xf numFmtId="0" fontId="15" fillId="4" borderId="0" xfId="0" applyFont="1" applyFill="1"/>
    <xf numFmtId="0" fontId="26" fillId="4" borderId="52" xfId="0" applyFont="1" applyFill="1" applyBorder="1" applyAlignment="1">
      <alignment horizontal="center" vertical="top" wrapText="1"/>
    </xf>
    <xf numFmtId="0" fontId="28" fillId="4" borderId="52" xfId="0" applyFont="1" applyFill="1" applyBorder="1" applyAlignment="1">
      <alignment horizontal="center" vertical="center" wrapText="1"/>
    </xf>
    <xf numFmtId="0" fontId="15" fillId="4" borderId="24" xfId="0" applyFont="1" applyFill="1" applyBorder="1" applyAlignment="1">
      <alignment horizontal="center" vertical="top"/>
    </xf>
    <xf numFmtId="10" fontId="15" fillId="4" borderId="39" xfId="0" applyNumberFormat="1" applyFont="1" applyFill="1" applyBorder="1"/>
    <xf numFmtId="0" fontId="15" fillId="4" borderId="39" xfId="0" applyFont="1" applyFill="1" applyBorder="1"/>
    <xf numFmtId="0" fontId="15" fillId="4" borderId="51" xfId="0" applyFont="1" applyFill="1" applyBorder="1" applyAlignment="1">
      <alignment horizontal="center" vertical="top"/>
    </xf>
    <xf numFmtId="0" fontId="28" fillId="0" borderId="52" xfId="0" applyFont="1" applyBorder="1" applyAlignment="1">
      <alignment horizontal="center" vertical="top" wrapText="1"/>
    </xf>
    <xf numFmtId="166" fontId="28" fillId="0" borderId="39" xfId="0" applyNumberFormat="1" applyFont="1" applyBorder="1" applyAlignment="1">
      <alignment horizontal="center" vertical="center" wrapText="1"/>
    </xf>
    <xf numFmtId="175" fontId="28" fillId="0" borderId="39" xfId="0" applyNumberFormat="1" applyFont="1" applyBorder="1" applyAlignment="1">
      <alignment horizontal="center" vertical="center" wrapText="1"/>
    </xf>
    <xf numFmtId="0" fontId="28" fillId="0" borderId="53" xfId="0" applyFont="1" applyBorder="1" applyAlignment="1">
      <alignment vertical="center" wrapText="1"/>
    </xf>
    <xf numFmtId="0" fontId="28" fillId="0" borderId="66" xfId="0" applyFont="1" applyBorder="1" applyAlignment="1">
      <alignment horizontal="center" vertical="top" wrapText="1"/>
    </xf>
    <xf numFmtId="0" fontId="28" fillId="0" borderId="66" xfId="0" applyFont="1" applyBorder="1" applyAlignment="1">
      <alignment horizontal="center" vertical="center" wrapText="1"/>
    </xf>
    <xf numFmtId="0" fontId="26" fillId="4" borderId="52" xfId="0" applyFont="1" applyFill="1" applyBorder="1" applyAlignment="1">
      <alignment horizontal="center" vertical="center" wrapText="1"/>
    </xf>
    <xf numFmtId="0" fontId="15" fillId="4" borderId="24" xfId="0" applyFont="1" applyFill="1" applyBorder="1"/>
    <xf numFmtId="10" fontId="15" fillId="4" borderId="51" xfId="0" applyNumberFormat="1" applyFont="1" applyFill="1" applyBorder="1"/>
    <xf numFmtId="166" fontId="28" fillId="0" borderId="0" xfId="0" applyNumberFormat="1" applyFont="1" applyAlignment="1">
      <alignment horizontal="center" vertical="center" wrapText="1"/>
    </xf>
    <xf numFmtId="10" fontId="0" fillId="0" borderId="8" xfId="0" applyNumberFormat="1" applyBorder="1" applyAlignment="1">
      <alignment horizontal="center"/>
    </xf>
    <xf numFmtId="0" fontId="26" fillId="4" borderId="51" xfId="0" applyFont="1" applyFill="1" applyBorder="1" applyAlignment="1">
      <alignment horizontal="center" vertical="center" wrapText="1"/>
    </xf>
    <xf numFmtId="0" fontId="15" fillId="4" borderId="51" xfId="0" applyFont="1" applyFill="1" applyBorder="1"/>
    <xf numFmtId="10" fontId="15" fillId="4" borderId="52" xfId="0" applyNumberFormat="1" applyFont="1" applyFill="1" applyBorder="1"/>
    <xf numFmtId="0" fontId="26" fillId="0" borderId="51" xfId="0" applyFont="1" applyBorder="1" applyAlignment="1">
      <alignment vertical="center" wrapText="1"/>
    </xf>
    <xf numFmtId="0" fontId="26" fillId="4" borderId="39" xfId="0" applyFont="1" applyFill="1" applyBorder="1" applyAlignment="1">
      <alignment horizontal="center" vertical="center" wrapText="1"/>
    </xf>
    <xf numFmtId="10" fontId="15" fillId="4" borderId="29" xfId="0" applyNumberFormat="1" applyFont="1" applyFill="1" applyBorder="1"/>
    <xf numFmtId="0" fontId="28" fillId="0" borderId="53" xfId="0" applyFont="1" applyBorder="1" applyAlignment="1">
      <alignment horizontal="left" vertical="center" wrapText="1" indent="1"/>
    </xf>
    <xf numFmtId="0" fontId="0" fillId="4" borderId="48" xfId="0" applyFill="1" applyBorder="1" applyAlignment="1">
      <alignment horizontal="center"/>
    </xf>
    <xf numFmtId="10" fontId="15" fillId="4" borderId="69" xfId="0" applyNumberFormat="1" applyFont="1" applyFill="1" applyBorder="1" applyAlignment="1">
      <alignment horizontal="center"/>
    </xf>
    <xf numFmtId="0" fontId="15" fillId="4" borderId="0" xfId="0" applyFont="1" applyFill="1" applyAlignment="1">
      <alignment horizontal="center"/>
    </xf>
    <xf numFmtId="10" fontId="0" fillId="0" borderId="24" xfId="0" applyNumberFormat="1" applyBorder="1" applyAlignment="1">
      <alignment horizontal="center"/>
    </xf>
    <xf numFmtId="10" fontId="0" fillId="0" borderId="1" xfId="0" applyNumberFormat="1" applyBorder="1" applyAlignment="1">
      <alignment horizontal="center"/>
    </xf>
    <xf numFmtId="0" fontId="28" fillId="0" borderId="0" xfId="0" applyFont="1" applyAlignment="1">
      <alignment horizontal="center" vertical="center" wrapText="1"/>
    </xf>
    <xf numFmtId="0" fontId="26" fillId="4" borderId="1" xfId="0" applyFont="1" applyFill="1" applyBorder="1" applyAlignment="1">
      <alignment horizontal="center" vertical="center" wrapText="1"/>
    </xf>
    <xf numFmtId="0" fontId="26" fillId="4" borderId="2" xfId="0" applyFont="1" applyFill="1" applyBorder="1" applyAlignment="1">
      <alignment horizontal="center" vertical="top" wrapText="1"/>
    </xf>
    <xf numFmtId="0" fontId="26" fillId="4" borderId="2" xfId="0" applyFont="1" applyFill="1" applyBorder="1" applyAlignment="1">
      <alignment horizontal="center" vertical="center" wrapText="1"/>
    </xf>
    <xf numFmtId="10" fontId="26" fillId="4" borderId="92" xfId="0" applyNumberFormat="1" applyFont="1" applyFill="1" applyBorder="1" applyAlignment="1">
      <alignment horizontal="center" vertical="center" wrapText="1"/>
    </xf>
    <xf numFmtId="166" fontId="0" fillId="0" borderId="28" xfId="0" applyNumberFormat="1" applyBorder="1" applyAlignment="1">
      <alignment horizontal="center" vertical="top"/>
    </xf>
    <xf numFmtId="0" fontId="28" fillId="0" borderId="39" xfId="0" applyFont="1" applyBorder="1" applyAlignment="1">
      <alignment horizontal="center" vertical="center" wrapText="1"/>
    </xf>
    <xf numFmtId="10" fontId="0" fillId="0" borderId="48" xfId="0" applyNumberFormat="1" applyBorder="1"/>
    <xf numFmtId="0" fontId="0" fillId="0" borderId="17" xfId="0" applyBorder="1" applyAlignment="1">
      <alignment horizontal="right" vertical="center" wrapText="1"/>
    </xf>
    <xf numFmtId="0" fontId="0" fillId="0" borderId="17" xfId="0" applyBorder="1" applyAlignment="1">
      <alignment vertical="center" wrapText="1"/>
    </xf>
    <xf numFmtId="0" fontId="31" fillId="0" borderId="17" xfId="0" applyFont="1" applyBorder="1" applyAlignment="1">
      <alignment horizontal="right" vertical="center" wrapText="1"/>
    </xf>
    <xf numFmtId="0" fontId="0" fillId="0" borderId="17" xfId="0" applyBorder="1" applyAlignment="1">
      <alignment horizontal="left" vertical="center" wrapText="1" indent="4"/>
    </xf>
    <xf numFmtId="2" fontId="0" fillId="0" borderId="17" xfId="0" applyNumberFormat="1" applyBorder="1" applyAlignment="1">
      <alignment horizontal="right" vertical="center" wrapText="1"/>
    </xf>
    <xf numFmtId="0" fontId="0" fillId="0" borderId="17" xfId="0" applyBorder="1" applyAlignment="1">
      <alignment horizontal="left" vertical="center" wrapText="1"/>
    </xf>
    <xf numFmtId="173" fontId="0" fillId="0" borderId="17" xfId="0" applyNumberFormat="1" applyBorder="1" applyAlignment="1">
      <alignment horizontal="right" vertical="center" wrapText="1"/>
    </xf>
    <xf numFmtId="0" fontId="31" fillId="0" borderId="17" xfId="0" applyFont="1" applyBorder="1" applyAlignment="1">
      <alignment horizontal="left" vertical="center" wrapText="1"/>
    </xf>
    <xf numFmtId="0" fontId="0" fillId="0" borderId="17" xfId="0" applyBorder="1" applyAlignment="1">
      <alignment horizontal="left" vertical="center" wrapText="1" indent="6"/>
    </xf>
    <xf numFmtId="0" fontId="0" fillId="0" borderId="31" xfId="0" applyBorder="1" applyAlignment="1">
      <alignment vertical="center" wrapText="1"/>
    </xf>
    <xf numFmtId="0" fontId="31" fillId="0" borderId="17" xfId="0" applyFont="1" applyBorder="1" applyAlignment="1">
      <alignment vertical="center" wrapText="1"/>
    </xf>
    <xf numFmtId="0" fontId="0" fillId="0" borderId="21" xfId="0" applyBorder="1" applyAlignment="1">
      <alignment vertical="center" wrapText="1"/>
    </xf>
    <xf numFmtId="0" fontId="0" fillId="9" borderId="17" xfId="0" applyFill="1" applyBorder="1" applyAlignment="1">
      <alignment horizontal="right" vertical="center" wrapText="1"/>
    </xf>
    <xf numFmtId="0" fontId="31" fillId="0" borderId="21" xfId="0" applyFont="1" applyBorder="1" applyAlignment="1">
      <alignment horizontal="right" vertical="center" wrapText="1"/>
    </xf>
    <xf numFmtId="176" fontId="0" fillId="0" borderId="17" xfId="0" applyNumberFormat="1" applyBorder="1" applyAlignment="1">
      <alignment horizontal="right" vertical="center" wrapText="1"/>
    </xf>
    <xf numFmtId="0" fontId="0" fillId="0" borderId="0" xfId="0" applyAlignment="1">
      <alignment horizontal="left"/>
    </xf>
    <xf numFmtId="0" fontId="4" fillId="0" borderId="4" xfId="5" applyFont="1" applyBorder="1"/>
    <xf numFmtId="0" fontId="4" fillId="0" borderId="7" xfId="5" applyFont="1" applyBorder="1"/>
    <xf numFmtId="171" fontId="4" fillId="0" borderId="4" xfId="5" applyNumberFormat="1" applyFont="1" applyBorder="1"/>
    <xf numFmtId="2" fontId="9" fillId="2" borderId="38" xfId="3" applyNumberFormat="1" applyFont="1" applyFill="1" applyBorder="1" applyAlignment="1"/>
    <xf numFmtId="0" fontId="7" fillId="0" borderId="4" xfId="5" applyFont="1" applyBorder="1"/>
    <xf numFmtId="2" fontId="4" fillId="0" borderId="4" xfId="5" applyNumberFormat="1" applyFont="1" applyBorder="1"/>
    <xf numFmtId="0" fontId="7" fillId="2" borderId="53" xfId="2" applyFont="1" applyFill="1" applyBorder="1"/>
    <xf numFmtId="2" fontId="11" fillId="0" borderId="4" xfId="4" applyNumberFormat="1" applyFont="1" applyBorder="1" applyAlignment="1">
      <alignment horizontal="right" wrapText="1"/>
    </xf>
    <xf numFmtId="0" fontId="4" fillId="2" borderId="52" xfId="2" applyFont="1" applyFill="1" applyBorder="1" applyAlignment="1">
      <alignment horizontal="left"/>
    </xf>
    <xf numFmtId="0" fontId="4" fillId="2" borderId="51" xfId="3" applyNumberFormat="1" applyFont="1" applyFill="1" applyBorder="1" applyAlignment="1">
      <alignment horizontal="center"/>
    </xf>
    <xf numFmtId="0" fontId="4" fillId="2" borderId="7" xfId="2" applyFont="1" applyFill="1" applyBorder="1" applyAlignment="1">
      <alignment horizontal="left"/>
    </xf>
    <xf numFmtId="0" fontId="4" fillId="2" borderId="5" xfId="2" applyFont="1" applyFill="1" applyBorder="1"/>
    <xf numFmtId="2" fontId="11" fillId="0" borderId="51" xfId="4" applyNumberFormat="1" applyFont="1" applyBorder="1" applyAlignment="1">
      <alignment horizontal="right" wrapText="1"/>
    </xf>
    <xf numFmtId="2" fontId="0" fillId="0" borderId="17" xfId="0" applyNumberFormat="1" applyBorder="1" applyAlignment="1">
      <alignment vertical="center" wrapText="1"/>
    </xf>
    <xf numFmtId="0" fontId="12" fillId="0" borderId="4" xfId="0" applyFont="1" applyBorder="1" applyAlignment="1">
      <alignment horizontal="left" wrapText="1"/>
    </xf>
    <xf numFmtId="0" fontId="32" fillId="0" borderId="4" xfId="0" applyFont="1" applyBorder="1" applyAlignment="1">
      <alignment horizontal="left" wrapText="1"/>
    </xf>
    <xf numFmtId="0" fontId="32" fillId="0" borderId="28" xfId="0" applyFont="1" applyBorder="1" applyAlignment="1">
      <alignment horizontal="left" wrapText="1"/>
    </xf>
    <xf numFmtId="0" fontId="12" fillId="0" borderId="28" xfId="0" applyFont="1" applyBorder="1"/>
    <xf numFmtId="2" fontId="11" fillId="0" borderId="1" xfId="4" applyNumberFormat="1" applyFont="1" applyBorder="1" applyAlignment="1">
      <alignment horizontal="right" wrapText="1"/>
    </xf>
    <xf numFmtId="171" fontId="4" fillId="0" borderId="51" xfId="5" applyNumberFormat="1" applyFont="1" applyBorder="1"/>
    <xf numFmtId="0" fontId="26" fillId="0" borderId="74" xfId="0" applyFont="1" applyBorder="1" applyAlignment="1">
      <alignment horizontal="center" vertical="top" wrapText="1"/>
    </xf>
    <xf numFmtId="10" fontId="0" fillId="0" borderId="53" xfId="0" applyNumberFormat="1" applyBorder="1" applyAlignment="1">
      <alignment horizontal="center"/>
    </xf>
    <xf numFmtId="0" fontId="0" fillId="0" borderId="53" xfId="0" applyBorder="1" applyAlignment="1">
      <alignment horizontal="center"/>
    </xf>
    <xf numFmtId="172" fontId="0" fillId="0" borderId="53" xfId="0" applyNumberFormat="1" applyBorder="1" applyAlignment="1">
      <alignment horizontal="center" vertical="top"/>
    </xf>
    <xf numFmtId="0" fontId="0" fillId="0" borderId="46" xfId="0" applyBorder="1" applyAlignment="1">
      <alignment horizontal="center"/>
    </xf>
    <xf numFmtId="172" fontId="0" fillId="0" borderId="4" xfId="0" applyNumberFormat="1" applyBorder="1" applyAlignment="1">
      <alignment vertical="top"/>
    </xf>
    <xf numFmtId="172" fontId="0" fillId="0" borderId="53" xfId="0" applyNumberFormat="1" applyBorder="1" applyAlignment="1">
      <alignment vertical="top"/>
    </xf>
    <xf numFmtId="172" fontId="0" fillId="0" borderId="51" xfId="0" applyNumberFormat="1" applyBorder="1" applyAlignment="1">
      <alignment vertical="top"/>
    </xf>
    <xf numFmtId="0" fontId="4" fillId="2" borderId="70" xfId="3" applyNumberFormat="1" applyFont="1" applyFill="1" applyBorder="1" applyAlignment="1"/>
    <xf numFmtId="173" fontId="11" fillId="0" borderId="51" xfId="4" applyNumberFormat="1" applyFont="1" applyBorder="1" applyAlignment="1">
      <alignment horizontal="right" wrapText="1"/>
    </xf>
    <xf numFmtId="0" fontId="4" fillId="2" borderId="17" xfId="3" applyNumberFormat="1" applyFont="1" applyFill="1" applyBorder="1" applyAlignment="1"/>
    <xf numFmtId="0" fontId="4" fillId="2" borderId="49" xfId="2" applyFont="1" applyFill="1" applyBorder="1" applyAlignment="1">
      <alignment horizontal="left"/>
    </xf>
    <xf numFmtId="0" fontId="4" fillId="2" borderId="92" xfId="2" applyFont="1" applyFill="1" applyBorder="1" applyAlignment="1">
      <alignment horizontal="left"/>
    </xf>
    <xf numFmtId="172" fontId="0" fillId="0" borderId="24" xfId="0" applyNumberFormat="1" applyBorder="1" applyAlignment="1">
      <alignment horizontal="center" vertical="top"/>
    </xf>
    <xf numFmtId="172" fontId="0" fillId="0" borderId="5" xfId="0" applyNumberFormat="1" applyBorder="1" applyAlignment="1">
      <alignment horizontal="center" vertical="top"/>
    </xf>
    <xf numFmtId="0" fontId="4" fillId="2" borderId="37" xfId="3" applyNumberFormat="1" applyFont="1" applyFill="1" applyBorder="1" applyAlignment="1"/>
    <xf numFmtId="0" fontId="4" fillId="2" borderId="49" xfId="3" applyNumberFormat="1" applyFont="1" applyFill="1" applyBorder="1" applyAlignment="1"/>
    <xf numFmtId="2" fontId="11" fillId="0" borderId="24" xfId="4" applyNumberFormat="1" applyFont="1" applyBorder="1" applyAlignment="1">
      <alignment horizontal="right" wrapText="1"/>
    </xf>
    <xf numFmtId="168" fontId="4" fillId="0" borderId="0" xfId="8" applyFont="1" applyBorder="1"/>
    <xf numFmtId="168" fontId="1" fillId="0" borderId="0" xfId="8" applyFont="1"/>
    <xf numFmtId="168" fontId="7" fillId="2" borderId="4" xfId="8" applyFont="1" applyFill="1" applyBorder="1" applyAlignment="1">
      <alignment horizontal="center" wrapText="1"/>
    </xf>
    <xf numFmtId="168" fontId="7" fillId="2" borderId="4" xfId="8" applyFont="1" applyFill="1" applyBorder="1" applyAlignment="1">
      <alignment horizontal="center" vertical="top" wrapText="1"/>
    </xf>
    <xf numFmtId="168" fontId="7" fillId="2" borderId="5" xfId="8" applyFont="1" applyFill="1" applyBorder="1" applyAlignment="1">
      <alignment horizontal="center" vertical="top" wrapText="1"/>
    </xf>
    <xf numFmtId="168" fontId="17" fillId="8" borderId="0" xfId="8" applyFont="1" applyFill="1" applyBorder="1" applyAlignment="1">
      <alignment horizontal="center" wrapText="1"/>
    </xf>
    <xf numFmtId="168" fontId="17" fillId="8" borderId="53" xfId="8" applyFont="1" applyFill="1" applyBorder="1" applyAlignment="1">
      <alignment horizontal="center" wrapText="1"/>
    </xf>
    <xf numFmtId="168" fontId="11" fillId="0" borderId="0" xfId="8" applyFont="1"/>
    <xf numFmtId="168" fontId="11" fillId="0" borderId="53" xfId="8" applyFont="1" applyBorder="1"/>
    <xf numFmtId="168" fontId="4" fillId="0" borderId="28" xfId="8" applyFont="1" applyBorder="1" applyAlignment="1"/>
    <xf numFmtId="168" fontId="4" fillId="0" borderId="1" xfId="8" applyFont="1" applyBorder="1" applyAlignment="1"/>
    <xf numFmtId="168" fontId="4" fillId="0" borderId="51" xfId="8" applyFont="1" applyBorder="1" applyAlignment="1"/>
    <xf numFmtId="168" fontId="11" fillId="0" borderId="28" xfId="8" applyFont="1" applyBorder="1" applyAlignment="1">
      <alignment horizontal="right"/>
    </xf>
    <xf numFmtId="168" fontId="1" fillId="0" borderId="28" xfId="8" applyFont="1" applyBorder="1" applyAlignment="1"/>
    <xf numFmtId="168" fontId="11" fillId="0" borderId="28" xfId="8" applyFont="1" applyBorder="1" applyAlignment="1">
      <alignment horizontal="right" wrapText="1"/>
    </xf>
    <xf numFmtId="168" fontId="11" fillId="0" borderId="1" xfId="8" applyFont="1" applyBorder="1" applyAlignment="1">
      <alignment horizontal="right" wrapText="1"/>
    </xf>
    <xf numFmtId="168" fontId="4" fillId="0" borderId="17" xfId="8" applyFont="1" applyBorder="1" applyAlignment="1"/>
    <xf numFmtId="168" fontId="4" fillId="2" borderId="7" xfId="8" applyFont="1" applyFill="1" applyBorder="1" applyAlignment="1"/>
    <xf numFmtId="168" fontId="9" fillId="2" borderId="54" xfId="8" applyFont="1" applyFill="1" applyBorder="1" applyAlignment="1"/>
    <xf numFmtId="168" fontId="4" fillId="2" borderId="54" xfId="8" applyFont="1" applyFill="1" applyBorder="1" applyAlignment="1"/>
    <xf numFmtId="168" fontId="4" fillId="2" borderId="41" xfId="8" applyFont="1" applyFill="1" applyBorder="1" applyAlignment="1">
      <alignment horizontal="center"/>
    </xf>
    <xf numFmtId="168" fontId="4" fillId="2" borderId="3" xfId="8" applyFont="1" applyFill="1" applyBorder="1" applyAlignment="1">
      <alignment horizontal="center"/>
    </xf>
    <xf numFmtId="168" fontId="4" fillId="2" borderId="41" xfId="8" applyFont="1" applyFill="1" applyBorder="1" applyAlignment="1"/>
    <xf numFmtId="168" fontId="4" fillId="2" borderId="64" xfId="8" applyFont="1" applyFill="1" applyBorder="1" applyAlignment="1"/>
    <xf numFmtId="168" fontId="4" fillId="2" borderId="13" xfId="8" applyFont="1" applyFill="1" applyBorder="1" applyAlignment="1"/>
    <xf numFmtId="168" fontId="4" fillId="2" borderId="18" xfId="8" applyFont="1" applyFill="1" applyBorder="1" applyAlignment="1"/>
    <xf numFmtId="168" fontId="4" fillId="0" borderId="17" xfId="8" applyFont="1" applyBorder="1"/>
    <xf numFmtId="168" fontId="0" fillId="3" borderId="0" xfId="8" applyFont="1" applyFill="1" applyBorder="1" applyAlignment="1">
      <alignment horizontal="left" wrapText="1"/>
    </xf>
    <xf numFmtId="168" fontId="7" fillId="3" borderId="4" xfId="8" applyFont="1" applyFill="1" applyBorder="1" applyAlignment="1">
      <alignment horizontal="center" wrapText="1"/>
    </xf>
    <xf numFmtId="168" fontId="7" fillId="3" borderId="2" xfId="8" applyFont="1" applyFill="1" applyBorder="1" applyAlignment="1">
      <alignment horizontal="left" wrapText="1"/>
    </xf>
    <xf numFmtId="168" fontId="11" fillId="3" borderId="0" xfId="8" applyFont="1" applyFill="1"/>
    <xf numFmtId="168" fontId="12" fillId="3" borderId="28" xfId="8" applyFont="1" applyFill="1" applyBorder="1" applyAlignment="1">
      <alignment horizontal="center" wrapText="1"/>
    </xf>
    <xf numFmtId="168" fontId="7" fillId="0" borderId="28" xfId="8" applyFont="1" applyBorder="1" applyAlignment="1">
      <alignment wrapText="1"/>
    </xf>
    <xf numFmtId="168" fontId="7" fillId="0" borderId="1" xfId="8" applyFont="1" applyBorder="1" applyAlignment="1">
      <alignment wrapText="1"/>
    </xf>
    <xf numFmtId="168" fontId="7" fillId="0" borderId="17" xfId="8" applyFont="1" applyBorder="1" applyAlignment="1">
      <alignment wrapText="1"/>
    </xf>
    <xf numFmtId="168" fontId="11" fillId="0" borderId="28" xfId="8" applyFont="1" applyBorder="1" applyAlignment="1">
      <alignment horizontal="center"/>
    </xf>
    <xf numFmtId="168" fontId="4" fillId="0" borderId="28" xfId="8" applyFont="1" applyBorder="1" applyAlignment="1">
      <alignment horizontal="right" wrapText="1"/>
    </xf>
    <xf numFmtId="168" fontId="12" fillId="0" borderId="28" xfId="8" applyFont="1" applyBorder="1" applyAlignment="1">
      <alignment horizontal="right" vertical="top" wrapText="1"/>
    </xf>
    <xf numFmtId="168" fontId="11" fillId="0" borderId="51" xfId="8" applyFont="1" applyBorder="1" applyAlignment="1">
      <alignment horizontal="right" wrapText="1"/>
    </xf>
    <xf numFmtId="168" fontId="11" fillId="0" borderId="24" xfId="8" applyFont="1" applyBorder="1" applyAlignment="1">
      <alignment horizontal="right" wrapText="1"/>
    </xf>
    <xf numFmtId="168" fontId="4" fillId="2" borderId="24" xfId="8" applyFont="1" applyFill="1" applyBorder="1" applyAlignment="1">
      <alignment horizontal="center"/>
    </xf>
    <xf numFmtId="168" fontId="11" fillId="0" borderId="5" xfId="8" applyFont="1" applyFill="1" applyBorder="1" applyAlignment="1">
      <alignment horizontal="right"/>
    </xf>
    <xf numFmtId="168" fontId="4" fillId="0" borderId="28" xfId="8" applyFont="1" applyFill="1" applyBorder="1" applyAlignment="1"/>
    <xf numFmtId="168" fontId="11" fillId="0" borderId="28" xfId="8" applyFont="1" applyFill="1" applyBorder="1" applyAlignment="1">
      <alignment horizontal="right"/>
    </xf>
    <xf numFmtId="168" fontId="1" fillId="0" borderId="28" xfId="8" applyFont="1" applyFill="1" applyBorder="1" applyAlignment="1"/>
    <xf numFmtId="168" fontId="11" fillId="0" borderId="28" xfId="8" applyFont="1" applyFill="1" applyBorder="1" applyAlignment="1">
      <alignment horizontal="right" wrapText="1"/>
    </xf>
    <xf numFmtId="168" fontId="11" fillId="0" borderId="1" xfId="8" applyFont="1" applyFill="1" applyBorder="1" applyAlignment="1">
      <alignment horizontal="right" wrapText="1"/>
    </xf>
    <xf numFmtId="2" fontId="11" fillId="0" borderId="28" xfId="4" applyNumberFormat="1" applyFont="1" applyFill="1" applyBorder="1" applyAlignment="1">
      <alignment horizontal="right" wrapText="1"/>
    </xf>
    <xf numFmtId="168" fontId="4" fillId="0" borderId="4" xfId="8" applyFont="1" applyBorder="1" applyAlignment="1"/>
    <xf numFmtId="168" fontId="11" fillId="0" borderId="14" xfId="8" applyFont="1" applyFill="1" applyBorder="1" applyAlignment="1">
      <alignment horizontal="right"/>
    </xf>
    <xf numFmtId="168" fontId="7" fillId="2" borderId="28" xfId="8" applyFont="1" applyFill="1" applyBorder="1" applyAlignment="1">
      <alignment horizontal="center" wrapText="1"/>
    </xf>
    <xf numFmtId="168" fontId="7" fillId="2" borderId="28" xfId="8" applyFont="1" applyFill="1" applyBorder="1" applyAlignment="1">
      <alignment horizontal="center" vertical="top" wrapText="1"/>
    </xf>
    <xf numFmtId="168" fontId="7" fillId="2" borderId="1" xfId="8" applyFont="1" applyFill="1" applyBorder="1" applyAlignment="1">
      <alignment horizontal="center" vertical="top" wrapText="1"/>
    </xf>
    <xf numFmtId="0" fontId="7" fillId="0" borderId="51" xfId="5" applyFont="1" applyBorder="1"/>
    <xf numFmtId="0" fontId="4" fillId="0" borderId="51" xfId="5" applyFont="1" applyBorder="1"/>
    <xf numFmtId="168" fontId="11" fillId="0" borderId="51" xfId="8" applyFont="1" applyFill="1" applyBorder="1" applyAlignment="1">
      <alignment horizontal="right" wrapText="1"/>
    </xf>
    <xf numFmtId="168" fontId="11" fillId="0" borderId="24" xfId="8" applyFont="1" applyFill="1" applyBorder="1" applyAlignment="1">
      <alignment horizontal="right" wrapText="1"/>
    </xf>
    <xf numFmtId="168" fontId="7" fillId="0" borderId="28" xfId="8" applyFont="1" applyFill="1" applyBorder="1" applyAlignment="1">
      <alignment horizontal="center" wrapText="1"/>
    </xf>
    <xf numFmtId="168" fontId="7" fillId="0" borderId="28" xfId="8" applyFont="1" applyFill="1" applyBorder="1" applyAlignment="1">
      <alignment horizontal="center" vertical="top" wrapText="1"/>
    </xf>
    <xf numFmtId="168" fontId="7" fillId="0" borderId="1" xfId="8" applyFont="1" applyFill="1" applyBorder="1" applyAlignment="1">
      <alignment horizontal="center" vertical="top" wrapText="1"/>
    </xf>
    <xf numFmtId="168" fontId="7" fillId="0" borderId="41" xfId="8" applyFont="1" applyFill="1" applyBorder="1" applyAlignment="1">
      <alignment horizontal="center" vertical="top" wrapText="1"/>
    </xf>
    <xf numFmtId="168" fontId="11" fillId="0" borderId="35" xfId="8" applyFont="1" applyFill="1" applyBorder="1" applyAlignment="1">
      <alignment horizontal="right" wrapText="1"/>
    </xf>
    <xf numFmtId="168" fontId="11" fillId="0" borderId="67" xfId="8" applyFont="1" applyFill="1" applyBorder="1" applyAlignment="1">
      <alignment horizontal="right" wrapText="1"/>
    </xf>
    <xf numFmtId="168" fontId="4" fillId="0" borderId="28" xfId="8" applyFont="1" applyFill="1" applyBorder="1"/>
    <xf numFmtId="0" fontId="4" fillId="2" borderId="28" xfId="2" applyFont="1" applyFill="1" applyBorder="1"/>
    <xf numFmtId="0" fontId="8" fillId="0" borderId="28" xfId="2" applyFont="1" applyBorder="1" applyAlignment="1">
      <alignment horizontal="center"/>
    </xf>
    <xf numFmtId="0" fontId="4" fillId="0" borderId="28" xfId="2" applyFont="1" applyBorder="1"/>
    <xf numFmtId="168" fontId="11" fillId="0" borderId="9" xfId="8" applyFont="1" applyFill="1" applyBorder="1" applyAlignment="1">
      <alignment horizontal="right" wrapText="1"/>
    </xf>
    <xf numFmtId="168" fontId="4" fillId="0" borderId="31" xfId="8" applyFont="1" applyBorder="1" applyAlignment="1"/>
    <xf numFmtId="168" fontId="4" fillId="0" borderId="31" xfId="8" applyFont="1" applyBorder="1"/>
    <xf numFmtId="168" fontId="4" fillId="2" borderId="28" xfId="8" applyFont="1" applyFill="1" applyBorder="1" applyAlignment="1"/>
    <xf numFmtId="168" fontId="4" fillId="2" borderId="28" xfId="8" applyFont="1" applyFill="1" applyBorder="1" applyAlignment="1">
      <alignment horizontal="center"/>
    </xf>
    <xf numFmtId="168" fontId="9" fillId="2" borderId="28" xfId="8" applyFont="1" applyFill="1" applyBorder="1" applyAlignment="1"/>
    <xf numFmtId="0" fontId="4" fillId="2" borderId="95" xfId="2" applyFont="1" applyFill="1" applyBorder="1" applyAlignment="1">
      <alignment horizontal="center"/>
    </xf>
    <xf numFmtId="0" fontId="4" fillId="2" borderId="14" xfId="2" applyFont="1" applyFill="1" applyBorder="1" applyAlignment="1">
      <alignment horizontal="center"/>
    </xf>
    <xf numFmtId="0" fontId="4" fillId="2" borderId="42" xfId="2" applyFont="1" applyFill="1" applyBorder="1" applyAlignment="1">
      <alignment horizontal="center"/>
    </xf>
    <xf numFmtId="0" fontId="4" fillId="2" borderId="24" xfId="2" applyFont="1" applyFill="1" applyBorder="1" applyAlignment="1">
      <alignment horizontal="center"/>
    </xf>
    <xf numFmtId="0" fontId="7" fillId="3" borderId="5" xfId="2" applyFont="1" applyFill="1" applyBorder="1" applyAlignment="1">
      <alignment vertical="center"/>
    </xf>
    <xf numFmtId="0" fontId="7" fillId="3" borderId="6" xfId="2" applyFont="1" applyFill="1" applyBorder="1" applyAlignment="1">
      <alignment horizontal="centerContinuous" vertical="center"/>
    </xf>
    <xf numFmtId="0" fontId="7" fillId="3" borderId="7" xfId="2" applyFont="1" applyFill="1" applyBorder="1" applyAlignment="1">
      <alignment horizontal="centerContinuous" vertical="center"/>
    </xf>
    <xf numFmtId="0" fontId="12" fillId="3" borderId="24" xfId="0" applyFont="1" applyFill="1" applyBorder="1" applyAlignment="1">
      <alignment horizontal="left"/>
    </xf>
    <xf numFmtId="0" fontId="4" fillId="3" borderId="39" xfId="2" applyFont="1" applyFill="1" applyBorder="1" applyAlignment="1">
      <alignment horizontal="centerContinuous" vertical="center"/>
    </xf>
    <xf numFmtId="0" fontId="4" fillId="3" borderId="52" xfId="2" applyFont="1" applyFill="1" applyBorder="1" applyAlignment="1">
      <alignment horizontal="left" vertical="center"/>
    </xf>
    <xf numFmtId="0" fontId="7" fillId="3" borderId="53" xfId="2" applyFont="1" applyFill="1" applyBorder="1" applyAlignment="1">
      <alignment horizontal="center" wrapText="1"/>
    </xf>
    <xf numFmtId="168" fontId="7" fillId="3" borderId="53" xfId="8" applyFont="1" applyFill="1" applyBorder="1" applyAlignment="1">
      <alignment horizontal="center" wrapText="1"/>
    </xf>
    <xf numFmtId="168" fontId="7" fillId="3" borderId="53" xfId="8" applyFont="1" applyFill="1" applyBorder="1" applyAlignment="1">
      <alignment horizontal="center" vertical="top" wrapText="1"/>
    </xf>
    <xf numFmtId="168" fontId="7" fillId="3" borderId="14" xfId="8" applyFont="1" applyFill="1" applyBorder="1" applyAlignment="1">
      <alignment horizontal="center" vertical="top" wrapText="1"/>
    </xf>
    <xf numFmtId="0" fontId="7" fillId="3" borderId="28" xfId="2" applyFont="1" applyFill="1" applyBorder="1"/>
    <xf numFmtId="0" fontId="4" fillId="3" borderId="28" xfId="2" applyFont="1" applyFill="1" applyBorder="1"/>
    <xf numFmtId="2" fontId="9" fillId="3" borderId="28" xfId="3" applyNumberFormat="1" applyFont="1" applyFill="1" applyBorder="1" applyAlignment="1"/>
    <xf numFmtId="168" fontId="9" fillId="3" borderId="28" xfId="8" applyFont="1" applyFill="1" applyBorder="1" applyAlignment="1"/>
    <xf numFmtId="0" fontId="4" fillId="3" borderId="28" xfId="2" applyFont="1" applyFill="1" applyBorder="1" applyAlignment="1">
      <alignment wrapText="1"/>
    </xf>
    <xf numFmtId="2" fontId="4" fillId="3" borderId="28" xfId="1" applyNumberFormat="1" applyFont="1" applyFill="1" applyBorder="1" applyAlignment="1"/>
    <xf numFmtId="168" fontId="4" fillId="3" borderId="28" xfId="8" applyFont="1" applyFill="1" applyBorder="1" applyAlignment="1"/>
    <xf numFmtId="2" fontId="4" fillId="3" borderId="28" xfId="3" applyNumberFormat="1" applyFont="1" applyFill="1" applyBorder="1" applyAlignment="1"/>
    <xf numFmtId="0" fontId="4" fillId="3" borderId="28" xfId="3" applyNumberFormat="1" applyFont="1" applyFill="1" applyBorder="1" applyAlignment="1"/>
    <xf numFmtId="0" fontId="8" fillId="3" borderId="28" xfId="2" applyFont="1" applyFill="1" applyBorder="1" applyAlignment="1">
      <alignment horizontal="center"/>
    </xf>
    <xf numFmtId="168" fontId="4" fillId="3" borderId="28" xfId="8" applyFont="1" applyFill="1" applyBorder="1"/>
    <xf numFmtId="168" fontId="11" fillId="3" borderId="4" xfId="8" applyFont="1" applyFill="1" applyBorder="1" applyAlignment="1">
      <alignment horizontal="center"/>
    </xf>
    <xf numFmtId="168" fontId="4" fillId="0" borderId="5" xfId="8" applyFont="1" applyBorder="1" applyAlignment="1"/>
    <xf numFmtId="168" fontId="4" fillId="0" borderId="21" xfId="8" applyFont="1" applyBorder="1" applyAlignment="1"/>
    <xf numFmtId="168" fontId="4" fillId="0" borderId="35" xfId="8" applyFont="1" applyBorder="1"/>
    <xf numFmtId="168" fontId="4" fillId="0" borderId="28" xfId="8" applyFont="1" applyBorder="1"/>
    <xf numFmtId="168" fontId="12" fillId="0" borderId="1" xfId="8" applyFont="1" applyFill="1" applyBorder="1" applyAlignment="1">
      <alignment horizontal="right" vertical="top"/>
    </xf>
    <xf numFmtId="168" fontId="7" fillId="2" borderId="5" xfId="8" applyFont="1" applyFill="1" applyBorder="1" applyAlignment="1">
      <alignment horizontal="center" wrapText="1"/>
    </xf>
    <xf numFmtId="168" fontId="11" fillId="0" borderId="5" xfId="8" applyFont="1" applyBorder="1" applyAlignment="1">
      <alignment horizontal="right" wrapText="1"/>
    </xf>
    <xf numFmtId="0" fontId="4" fillId="0" borderId="49" xfId="2" applyFont="1" applyBorder="1"/>
    <xf numFmtId="168" fontId="7" fillId="0" borderId="2" xfId="8" applyFont="1" applyFill="1" applyBorder="1" applyAlignment="1">
      <alignment vertical="top" wrapText="1"/>
    </xf>
    <xf numFmtId="168" fontId="7" fillId="0" borderId="17" xfId="8" applyFont="1" applyFill="1" applyBorder="1" applyAlignment="1">
      <alignment vertical="top" wrapText="1"/>
    </xf>
    <xf numFmtId="168" fontId="7" fillId="0" borderId="2" xfId="8" applyFont="1" applyFill="1" applyBorder="1" applyAlignment="1">
      <alignment horizontal="left" wrapText="1"/>
    </xf>
    <xf numFmtId="168" fontId="7" fillId="0" borderId="28" xfId="8" applyFont="1" applyFill="1" applyBorder="1" applyAlignment="1">
      <alignment horizontal="left" wrapText="1"/>
    </xf>
    <xf numFmtId="168" fontId="4" fillId="0" borderId="0" xfId="8" applyFont="1" applyFill="1" applyBorder="1"/>
    <xf numFmtId="166" fontId="4" fillId="0" borderId="0" xfId="2" applyNumberFormat="1" applyFont="1" applyAlignment="1">
      <alignment horizontal="center"/>
    </xf>
    <xf numFmtId="166" fontId="4" fillId="0" borderId="0" xfId="2" applyNumberFormat="1" applyFont="1"/>
    <xf numFmtId="0" fontId="0" fillId="0" borderId="49" xfId="0" applyBorder="1" applyAlignment="1">
      <alignment vertical="center" wrapText="1"/>
    </xf>
    <xf numFmtId="0" fontId="0" fillId="0" borderId="49" xfId="0" applyBorder="1" applyAlignment="1">
      <alignment horizontal="right" vertical="center" wrapText="1"/>
    </xf>
    <xf numFmtId="2" fontId="0" fillId="0" borderId="49" xfId="0" applyNumberFormat="1" applyBorder="1" applyAlignment="1">
      <alignment vertical="center" wrapText="1"/>
    </xf>
    <xf numFmtId="2" fontId="0" fillId="0" borderId="49" xfId="0" applyNumberFormat="1" applyBorder="1" applyAlignment="1">
      <alignment horizontal="right" vertical="center" wrapText="1"/>
    </xf>
    <xf numFmtId="0" fontId="31" fillId="0" borderId="49" xfId="0" applyFont="1" applyBorder="1" applyAlignment="1">
      <alignment horizontal="right" vertical="center" wrapText="1"/>
    </xf>
    <xf numFmtId="2" fontId="0" fillId="0" borderId="17" xfId="0" applyNumberFormat="1" applyBorder="1"/>
    <xf numFmtId="0" fontId="15" fillId="0" borderId="1" xfId="0" applyFont="1" applyBorder="1" applyAlignment="1">
      <alignment horizontal="center" vertical="top"/>
    </xf>
    <xf numFmtId="0" fontId="15" fillId="0" borderId="5" xfId="0" applyFont="1" applyBorder="1" applyAlignment="1">
      <alignment horizontal="center" vertical="top"/>
    </xf>
    <xf numFmtId="172" fontId="0" fillId="0" borderId="1" xfId="0" applyNumberFormat="1" applyBorder="1" applyAlignment="1">
      <alignment horizontal="center" vertical="top"/>
    </xf>
    <xf numFmtId="172" fontId="0" fillId="0" borderId="14" xfId="0" applyNumberFormat="1" applyBorder="1" applyAlignment="1">
      <alignment horizontal="center" vertical="top"/>
    </xf>
    <xf numFmtId="172" fontId="0" fillId="0" borderId="5" xfId="0" applyNumberFormat="1" applyBorder="1" applyAlignment="1">
      <alignment vertical="top"/>
    </xf>
    <xf numFmtId="172" fontId="0" fillId="0" borderId="14" xfId="0" applyNumberFormat="1" applyBorder="1" applyAlignment="1">
      <alignment vertical="top"/>
    </xf>
    <xf numFmtId="172" fontId="0" fillId="0" borderId="24" xfId="0" applyNumberFormat="1" applyBorder="1" applyAlignment="1">
      <alignment vertical="top"/>
    </xf>
    <xf numFmtId="0" fontId="0" fillId="0" borderId="24" xfId="0" applyBorder="1" applyAlignment="1">
      <alignment horizontal="center" vertical="top"/>
    </xf>
    <xf numFmtId="0" fontId="0" fillId="0" borderId="1" xfId="0" applyBorder="1" applyAlignment="1">
      <alignment horizontal="center" vertical="top"/>
    </xf>
    <xf numFmtId="0" fontId="15" fillId="4" borderId="5" xfId="0" applyFont="1" applyFill="1" applyBorder="1" applyAlignment="1">
      <alignment horizontal="center" vertical="top"/>
    </xf>
    <xf numFmtId="166" fontId="0" fillId="0" borderId="1" xfId="0" applyNumberFormat="1" applyBorder="1" applyAlignment="1">
      <alignment horizontal="center" vertical="top"/>
    </xf>
    <xf numFmtId="2" fontId="9" fillId="2" borderId="4" xfId="3" applyNumberFormat="1" applyFont="1" applyFill="1" applyBorder="1" applyAlignment="1"/>
    <xf numFmtId="2" fontId="9" fillId="2" borderId="7" xfId="3" applyNumberFormat="1" applyFont="1" applyFill="1" applyBorder="1" applyAlignment="1"/>
    <xf numFmtId="168" fontId="11" fillId="0" borderId="6" xfId="8" applyFont="1" applyFill="1" applyBorder="1" applyAlignment="1">
      <alignment horizontal="right" wrapText="1"/>
    </xf>
    <xf numFmtId="0" fontId="26" fillId="4" borderId="72" xfId="0" applyFont="1" applyFill="1" applyBorder="1" applyAlignment="1">
      <alignment horizontal="center" vertical="top" wrapText="1"/>
    </xf>
    <xf numFmtId="0" fontId="15" fillId="4" borderId="40" xfId="0" applyFont="1" applyFill="1" applyBorder="1" applyAlignment="1">
      <alignment horizontal="left"/>
    </xf>
    <xf numFmtId="0" fontId="15" fillId="4" borderId="67" xfId="0" applyFont="1" applyFill="1" applyBorder="1"/>
    <xf numFmtId="10" fontId="15" fillId="4" borderId="1" xfId="0" applyNumberFormat="1" applyFont="1" applyFill="1" applyBorder="1"/>
    <xf numFmtId="0" fontId="15" fillId="4" borderId="28" xfId="0" applyFont="1" applyFill="1" applyBorder="1" applyAlignment="1">
      <alignment horizontal="center"/>
    </xf>
    <xf numFmtId="0" fontId="15" fillId="4" borderId="3" xfId="0" applyFont="1" applyFill="1" applyBorder="1" applyAlignment="1">
      <alignment horizontal="center" vertical="top"/>
    </xf>
    <xf numFmtId="10" fontId="0" fillId="4" borderId="0" xfId="0" applyNumberFormat="1" applyFill="1"/>
    <xf numFmtId="0" fontId="15" fillId="4" borderId="28" xfId="0" applyFont="1" applyFill="1" applyBorder="1" applyAlignment="1">
      <alignment horizontal="center" vertical="top"/>
    </xf>
    <xf numFmtId="0" fontId="15" fillId="4" borderId="1" xfId="0" applyFont="1" applyFill="1" applyBorder="1" applyAlignment="1">
      <alignment horizontal="center" vertical="top"/>
    </xf>
    <xf numFmtId="172" fontId="15" fillId="0" borderId="64" xfId="0" applyNumberFormat="1" applyFont="1" applyBorder="1" applyAlignment="1">
      <alignment horizontal="center" vertical="top"/>
    </xf>
    <xf numFmtId="49" fontId="15" fillId="0" borderId="60" xfId="0" applyNumberFormat="1" applyFont="1" applyBorder="1" applyAlignment="1">
      <alignment horizontal="center" vertical="top"/>
    </xf>
    <xf numFmtId="172" fontId="0" fillId="0" borderId="2" xfId="0" applyNumberFormat="1" applyBorder="1" applyAlignment="1">
      <alignment horizontal="center" vertical="top"/>
    </xf>
    <xf numFmtId="172" fontId="0" fillId="0" borderId="64" xfId="0" applyNumberFormat="1" applyBorder="1" applyAlignment="1">
      <alignment horizontal="center" vertical="top"/>
    </xf>
    <xf numFmtId="172" fontId="0" fillId="0" borderId="2" xfId="0" applyNumberFormat="1" applyBorder="1" applyAlignment="1">
      <alignment vertical="top"/>
    </xf>
    <xf numFmtId="172" fontId="15" fillId="0" borderId="41" xfId="0" applyNumberFormat="1" applyFont="1" applyBorder="1" applyAlignment="1">
      <alignment vertical="top"/>
    </xf>
    <xf numFmtId="49" fontId="15" fillId="0" borderId="10" xfId="0" applyNumberFormat="1" applyFont="1" applyBorder="1" applyAlignment="1">
      <alignment vertical="top"/>
    </xf>
    <xf numFmtId="172" fontId="0" fillId="0" borderId="31" xfId="0" applyNumberFormat="1" applyBorder="1" applyAlignment="1">
      <alignment vertical="top"/>
    </xf>
    <xf numFmtId="172" fontId="0" fillId="0" borderId="21" xfId="0" applyNumberFormat="1" applyBorder="1" applyAlignment="1">
      <alignment vertical="top"/>
    </xf>
    <xf numFmtId="172" fontId="0" fillId="0" borderId="41" xfId="0" applyNumberFormat="1" applyBorder="1" applyAlignment="1">
      <alignment vertical="top"/>
    </xf>
    <xf numFmtId="172" fontId="0" fillId="0" borderId="35" xfId="0" applyNumberFormat="1" applyBorder="1" applyAlignment="1">
      <alignment vertical="top"/>
    </xf>
    <xf numFmtId="172" fontId="0" fillId="0" borderId="10" xfId="0" applyNumberFormat="1" applyBorder="1" applyAlignment="1">
      <alignment vertical="top"/>
    </xf>
    <xf numFmtId="172" fontId="0" fillId="0" borderId="29" xfId="0" applyNumberFormat="1" applyBorder="1" applyAlignment="1">
      <alignment vertical="top"/>
    </xf>
    <xf numFmtId="172" fontId="15" fillId="0" borderId="28" xfId="0" applyNumberFormat="1" applyFont="1" applyBorder="1" applyAlignment="1">
      <alignment vertical="top"/>
    </xf>
    <xf numFmtId="49" fontId="15" fillId="0" borderId="53" xfId="0" applyNumberFormat="1" applyFont="1" applyBorder="1" applyAlignment="1">
      <alignment vertical="top"/>
    </xf>
    <xf numFmtId="172" fontId="0" fillId="0" borderId="67" xfId="0" applyNumberFormat="1" applyBorder="1" applyAlignment="1">
      <alignment vertical="top"/>
    </xf>
    <xf numFmtId="172" fontId="0" fillId="0" borderId="9" xfId="0" applyNumberFormat="1" applyBorder="1" applyAlignment="1">
      <alignment vertical="top"/>
    </xf>
    <xf numFmtId="172" fontId="0" fillId="0" borderId="6" xfId="0" applyNumberFormat="1" applyBorder="1" applyAlignment="1">
      <alignment vertical="top"/>
    </xf>
    <xf numFmtId="172" fontId="0" fillId="0" borderId="39" xfId="0" applyNumberFormat="1" applyBorder="1" applyAlignment="1">
      <alignment vertical="top"/>
    </xf>
    <xf numFmtId="172" fontId="0" fillId="0" borderId="34" xfId="0" applyNumberFormat="1" applyBorder="1" applyAlignment="1">
      <alignment vertical="top"/>
    </xf>
    <xf numFmtId="172" fontId="0" fillId="0" borderId="32" xfId="0" applyNumberFormat="1" applyBorder="1" applyAlignment="1">
      <alignment vertical="top"/>
    </xf>
    <xf numFmtId="172" fontId="0" fillId="0" borderId="22" xfId="0" applyNumberFormat="1" applyBorder="1" applyAlignment="1">
      <alignment vertical="top"/>
    </xf>
    <xf numFmtId="172" fontId="0" fillId="0" borderId="47" xfId="0" applyNumberFormat="1" applyBorder="1" applyAlignment="1">
      <alignment vertical="top"/>
    </xf>
    <xf numFmtId="172" fontId="15" fillId="0" borderId="53" xfId="0" applyNumberFormat="1" applyFont="1" applyBorder="1" applyAlignment="1">
      <alignment vertical="top"/>
    </xf>
    <xf numFmtId="172" fontId="0" fillId="0" borderId="1" xfId="0" applyNumberFormat="1" applyBorder="1" applyAlignment="1">
      <alignment vertical="top"/>
    </xf>
    <xf numFmtId="49" fontId="15" fillId="0" borderId="39" xfId="0" applyNumberFormat="1" applyFont="1" applyBorder="1" applyAlignment="1">
      <alignment vertical="top"/>
    </xf>
    <xf numFmtId="49" fontId="15" fillId="0" borderId="51" xfId="0" applyNumberFormat="1" applyFont="1" applyBorder="1" applyAlignment="1">
      <alignment vertical="top"/>
    </xf>
    <xf numFmtId="49" fontId="15" fillId="0" borderId="28" xfId="0" applyNumberFormat="1" applyFont="1" applyBorder="1" applyAlignment="1">
      <alignment horizontal="center" vertical="top"/>
    </xf>
    <xf numFmtId="49" fontId="26" fillId="0" borderId="28" xfId="0" applyNumberFormat="1" applyFont="1" applyBorder="1" applyAlignment="1">
      <alignment horizontal="center" vertical="top" wrapText="1"/>
    </xf>
    <xf numFmtId="177" fontId="0" fillId="0" borderId="0" xfId="0" applyNumberFormat="1" applyAlignment="1">
      <alignment horizontal="center"/>
    </xf>
    <xf numFmtId="168" fontId="11" fillId="0" borderId="4" xfId="8" applyFont="1" applyBorder="1" applyAlignment="1">
      <alignment horizontal="right" wrapText="1"/>
    </xf>
    <xf numFmtId="168" fontId="11" fillId="0" borderId="35" xfId="8" applyFont="1" applyBorder="1"/>
    <xf numFmtId="168" fontId="11" fillId="0" borderId="0" xfId="8" applyFont="1" applyBorder="1"/>
    <xf numFmtId="168" fontId="11" fillId="0" borderId="40" xfId="8" applyFont="1" applyBorder="1" applyAlignment="1">
      <alignment horizontal="right" wrapText="1"/>
    </xf>
    <xf numFmtId="0" fontId="4" fillId="0" borderId="17" xfId="2" applyFont="1" applyBorder="1"/>
    <xf numFmtId="166" fontId="4" fillId="0" borderId="17" xfId="2" applyNumberFormat="1" applyFont="1" applyBorder="1"/>
    <xf numFmtId="0" fontId="7" fillId="0" borderId="17" xfId="2" applyFont="1" applyBorder="1"/>
    <xf numFmtId="0" fontId="7" fillId="2" borderId="1" xfId="8" applyNumberFormat="1" applyFont="1" applyFill="1" applyBorder="1" applyAlignment="1">
      <alignment horizontal="center" vertical="top" wrapText="1"/>
    </xf>
    <xf numFmtId="0" fontId="34" fillId="0" borderId="0" xfId="0" applyFont="1" applyAlignment="1">
      <alignment horizontal="center" vertical="center"/>
    </xf>
    <xf numFmtId="0" fontId="34" fillId="0" borderId="0" xfId="0" applyFont="1" applyAlignment="1">
      <alignment horizontal="justify" vertical="center"/>
    </xf>
    <xf numFmtId="0" fontId="35" fillId="0" borderId="3" xfId="0" applyFont="1" applyBorder="1" applyAlignment="1">
      <alignment horizontal="justify" vertical="center" wrapText="1"/>
    </xf>
    <xf numFmtId="0" fontId="34" fillId="0" borderId="52" xfId="0" applyFont="1" applyBorder="1" applyAlignment="1">
      <alignment horizontal="justify" vertical="center" wrapText="1"/>
    </xf>
    <xf numFmtId="0" fontId="34" fillId="0" borderId="66" xfId="0" applyFont="1" applyBorder="1" applyAlignment="1">
      <alignment horizontal="justify" vertical="center" wrapText="1"/>
    </xf>
    <xf numFmtId="0" fontId="36" fillId="0" borderId="52" xfId="0" applyFont="1" applyBorder="1" applyAlignment="1">
      <alignment horizontal="center" vertical="center" wrapText="1"/>
    </xf>
    <xf numFmtId="0" fontId="36" fillId="0" borderId="52" xfId="0" applyFont="1" applyBorder="1" applyAlignment="1">
      <alignment vertical="center" wrapText="1"/>
    </xf>
    <xf numFmtId="0" fontId="37" fillId="0" borderId="51" xfId="0" applyFont="1" applyBorder="1" applyAlignment="1">
      <alignment vertical="center" wrapText="1"/>
    </xf>
    <xf numFmtId="0" fontId="37" fillId="0" borderId="52" xfId="0" applyFont="1" applyBorder="1" applyAlignment="1">
      <alignment vertical="center" wrapText="1"/>
    </xf>
    <xf numFmtId="165" fontId="37" fillId="0" borderId="52" xfId="0" applyNumberFormat="1" applyFont="1" applyBorder="1" applyAlignment="1">
      <alignment vertical="center" wrapText="1"/>
    </xf>
    <xf numFmtId="0" fontId="37" fillId="0" borderId="0" xfId="0" applyFont="1" applyAlignment="1">
      <alignment vertical="center"/>
    </xf>
    <xf numFmtId="0" fontId="38" fillId="0" borderId="0" xfId="0" applyFont="1" applyAlignment="1">
      <alignment horizontal="center" vertical="center"/>
    </xf>
    <xf numFmtId="0" fontId="37" fillId="0" borderId="66" xfId="0" applyFont="1" applyBorder="1" applyAlignment="1">
      <alignment vertical="center" wrapText="1"/>
    </xf>
    <xf numFmtId="0" fontId="34" fillId="0" borderId="0" xfId="0" applyFont="1" applyAlignment="1">
      <alignment vertical="center"/>
    </xf>
    <xf numFmtId="0" fontId="36" fillId="0" borderId="51" xfId="0" applyFont="1" applyBorder="1" applyAlignment="1">
      <alignment vertical="center" wrapText="1"/>
    </xf>
    <xf numFmtId="164" fontId="37" fillId="0" borderId="52" xfId="0" applyNumberFormat="1" applyFont="1" applyBorder="1" applyAlignment="1">
      <alignment vertical="center" wrapText="1"/>
    </xf>
    <xf numFmtId="168" fontId="0" fillId="0" borderId="0" xfId="8" applyFont="1" applyAlignment="1">
      <alignment horizontal="center" vertical="top"/>
    </xf>
    <xf numFmtId="168" fontId="15" fillId="4" borderId="1" xfId="8" applyFont="1" applyFill="1" applyBorder="1" applyAlignment="1">
      <alignment horizontal="center" vertical="top"/>
    </xf>
    <xf numFmtId="168" fontId="15" fillId="0" borderId="5" xfId="8" applyFont="1" applyBorder="1" applyAlignment="1">
      <alignment horizontal="center" vertical="top"/>
    </xf>
    <xf numFmtId="168" fontId="0" fillId="0" borderId="5" xfId="8" applyFont="1" applyBorder="1" applyAlignment="1">
      <alignment horizontal="center" vertical="top"/>
    </xf>
    <xf numFmtId="168" fontId="0" fillId="0" borderId="24" xfId="8" applyFont="1" applyBorder="1" applyAlignment="1">
      <alignment horizontal="center" vertical="top"/>
    </xf>
    <xf numFmtId="168" fontId="0" fillId="0" borderId="24" xfId="8" applyFont="1" applyBorder="1" applyAlignment="1">
      <alignment vertical="top"/>
    </xf>
    <xf numFmtId="168" fontId="0" fillId="0" borderId="5" xfId="8" applyFont="1" applyBorder="1" applyAlignment="1">
      <alignment vertical="top"/>
    </xf>
    <xf numFmtId="168" fontId="0" fillId="0" borderId="14" xfId="8" applyFont="1" applyBorder="1" applyAlignment="1">
      <alignment vertical="top"/>
    </xf>
    <xf numFmtId="168" fontId="0" fillId="0" borderId="1" xfId="8" applyFont="1" applyBorder="1" applyAlignment="1">
      <alignment horizontal="center" vertical="top"/>
    </xf>
    <xf numFmtId="168" fontId="26" fillId="4" borderId="0" xfId="8" applyFont="1" applyFill="1" applyAlignment="1">
      <alignment horizontal="center" vertical="top" wrapText="1"/>
    </xf>
    <xf numFmtId="168" fontId="0" fillId="0" borderId="2" xfId="8" applyFont="1" applyBorder="1" applyAlignment="1">
      <alignment horizontal="center" vertical="top"/>
    </xf>
    <xf numFmtId="168" fontId="15" fillId="0" borderId="1" xfId="8" applyFont="1" applyBorder="1" applyAlignment="1">
      <alignment horizontal="center" vertical="top"/>
    </xf>
    <xf numFmtId="168" fontId="0" fillId="0" borderId="6" xfId="8" applyFont="1" applyBorder="1" applyAlignment="1">
      <alignment horizontal="center" vertical="top"/>
    </xf>
    <xf numFmtId="168" fontId="0" fillId="0" borderId="39" xfId="8" applyFont="1" applyBorder="1" applyAlignment="1">
      <alignment horizontal="center" vertical="top"/>
    </xf>
    <xf numFmtId="168" fontId="15" fillId="4" borderId="5" xfId="8" applyFont="1" applyFill="1" applyBorder="1" applyAlignment="1">
      <alignment horizontal="center" vertical="top"/>
    </xf>
    <xf numFmtId="168" fontId="15" fillId="4" borderId="14" xfId="8" applyFont="1" applyFill="1" applyBorder="1" applyAlignment="1">
      <alignment horizontal="center" vertical="top"/>
    </xf>
    <xf numFmtId="168" fontId="0" fillId="4" borderId="0" xfId="8" applyFont="1" applyFill="1"/>
    <xf numFmtId="168" fontId="4" fillId="0" borderId="0" xfId="8" applyFont="1"/>
    <xf numFmtId="168" fontId="11" fillId="0" borderId="17" xfId="8" applyFont="1" applyBorder="1"/>
    <xf numFmtId="2" fontId="0" fillId="0" borderId="17" xfId="0" applyNumberFormat="1" applyBorder="1" applyAlignment="1">
      <alignment horizontal="left"/>
    </xf>
    <xf numFmtId="2" fontId="0" fillId="0" borderId="17" xfId="0" applyNumberFormat="1" applyBorder="1" applyAlignment="1">
      <alignment vertical="center"/>
    </xf>
    <xf numFmtId="2" fontId="15" fillId="0" borderId="17" xfId="0" applyNumberFormat="1" applyFont="1" applyBorder="1"/>
    <xf numFmtId="2" fontId="15" fillId="4" borderId="28" xfId="0" applyNumberFormat="1" applyFont="1" applyFill="1" applyBorder="1" applyAlignment="1">
      <alignment vertical="center"/>
    </xf>
    <xf numFmtId="2" fontId="0" fillId="0" borderId="28" xfId="0" applyNumberFormat="1" applyBorder="1"/>
    <xf numFmtId="2" fontId="0" fillId="0" borderId="4" xfId="0" applyNumberFormat="1" applyBorder="1" applyAlignment="1">
      <alignment horizontal="center" vertical="top"/>
    </xf>
    <xf numFmtId="2" fontId="0" fillId="0" borderId="35" xfId="0" applyNumberFormat="1" applyBorder="1"/>
    <xf numFmtId="2" fontId="0" fillId="4" borderId="17" xfId="0" applyNumberFormat="1" applyFill="1" applyBorder="1"/>
    <xf numFmtId="0" fontId="15" fillId="0" borderId="17" xfId="0" applyFont="1" applyBorder="1"/>
    <xf numFmtId="2" fontId="15" fillId="4" borderId="17" xfId="0" applyNumberFormat="1" applyFont="1" applyFill="1" applyBorder="1"/>
    <xf numFmtId="0" fontId="15" fillId="4" borderId="17" xfId="0" applyFont="1" applyFill="1" applyBorder="1"/>
    <xf numFmtId="0" fontId="15" fillId="4" borderId="0" xfId="0" applyFont="1" applyFill="1" applyAlignment="1">
      <alignment vertical="top"/>
    </xf>
    <xf numFmtId="0" fontId="7" fillId="0" borderId="17" xfId="8" applyNumberFormat="1" applyFont="1" applyBorder="1" applyAlignment="1">
      <alignment horizontal="center" vertical="top"/>
    </xf>
    <xf numFmtId="0" fontId="12" fillId="0" borderId="17" xfId="8" applyNumberFormat="1" applyFont="1" applyBorder="1" applyAlignment="1">
      <alignment vertical="top"/>
    </xf>
    <xf numFmtId="0" fontId="4" fillId="0" borderId="17" xfId="8" applyNumberFormat="1" applyFont="1" applyBorder="1" applyAlignment="1">
      <alignment vertical="top"/>
    </xf>
    <xf numFmtId="0" fontId="7" fillId="0" borderId="17" xfId="8" applyNumberFormat="1" applyFont="1" applyBorder="1" applyAlignment="1">
      <alignment vertical="top"/>
    </xf>
    <xf numFmtId="168" fontId="16" fillId="8" borderId="17" xfId="8" applyFont="1" applyFill="1" applyBorder="1"/>
    <xf numFmtId="0" fontId="40" fillId="0" borderId="0" xfId="0" applyFont="1" applyAlignment="1">
      <alignment horizontal="justify" vertical="center"/>
    </xf>
    <xf numFmtId="0" fontId="42" fillId="0" borderId="0" xfId="0" applyFont="1" applyAlignment="1">
      <alignment horizontal="justify" vertical="center"/>
    </xf>
    <xf numFmtId="0" fontId="15" fillId="0" borderId="5" xfId="8" applyNumberFormat="1" applyFont="1" applyBorder="1" applyAlignment="1">
      <alignment horizontal="center" vertical="top"/>
    </xf>
    <xf numFmtId="2" fontId="0" fillId="0" borderId="28" xfId="0" applyNumberFormat="1" applyBorder="1" applyAlignment="1">
      <alignment horizontal="center" vertical="top"/>
    </xf>
    <xf numFmtId="2" fontId="0" fillId="0" borderId="21" xfId="0" applyNumberFormat="1" applyBorder="1"/>
    <xf numFmtId="2" fontId="0" fillId="0" borderId="31" xfId="0" applyNumberFormat="1" applyBorder="1"/>
    <xf numFmtId="49" fontId="7" fillId="2" borderId="21" xfId="8" applyNumberFormat="1" applyFont="1" applyFill="1" applyBorder="1" applyAlignment="1">
      <alignment horizontal="center" vertical="top" wrapText="1"/>
    </xf>
    <xf numFmtId="49" fontId="7" fillId="0" borderId="17" xfId="8" applyNumberFormat="1" applyFont="1" applyBorder="1" applyAlignment="1">
      <alignment vertical="top"/>
    </xf>
    <xf numFmtId="0" fontId="15" fillId="10" borderId="17" xfId="0" applyFont="1" applyFill="1" applyBorder="1" applyAlignment="1">
      <alignment vertical="center" wrapText="1"/>
    </xf>
    <xf numFmtId="0" fontId="15" fillId="10" borderId="49" xfId="0" applyFont="1" applyFill="1" applyBorder="1" applyAlignment="1">
      <alignment vertical="center" wrapText="1"/>
    </xf>
    <xf numFmtId="0" fontId="15" fillId="10" borderId="17" xfId="0" applyFont="1" applyFill="1" applyBorder="1" applyAlignment="1">
      <alignment vertical="center"/>
    </xf>
    <xf numFmtId="178" fontId="34" fillId="0" borderId="52" xfId="0" applyNumberFormat="1" applyFont="1" applyBorder="1" applyAlignment="1">
      <alignment horizontal="justify" vertical="center" wrapText="1"/>
    </xf>
    <xf numFmtId="0" fontId="11" fillId="0" borderId="0" xfId="0" applyFont="1" applyAlignment="1">
      <alignment horizontal="left" vertical="top" wrapText="1"/>
    </xf>
    <xf numFmtId="2" fontId="11" fillId="0" borderId="0" xfId="4" applyNumberFormat="1" applyFont="1" applyBorder="1" applyAlignment="1">
      <alignment horizontal="right" wrapText="1"/>
    </xf>
    <xf numFmtId="168" fontId="11" fillId="0" borderId="0" xfId="8" applyFont="1" applyBorder="1" applyAlignment="1">
      <alignment horizontal="right" wrapText="1"/>
    </xf>
    <xf numFmtId="168" fontId="1" fillId="0" borderId="0" xfId="8" applyFont="1" applyFill="1"/>
    <xf numFmtId="168" fontId="11" fillId="0" borderId="53" xfId="8" applyFont="1" applyFill="1" applyBorder="1"/>
    <xf numFmtId="168" fontId="4" fillId="0" borderId="51" xfId="8" applyFont="1" applyFill="1" applyBorder="1" applyAlignment="1"/>
    <xf numFmtId="168" fontId="4" fillId="0" borderId="31" xfId="8" applyFont="1" applyFill="1" applyBorder="1" applyAlignment="1"/>
    <xf numFmtId="168" fontId="7" fillId="0" borderId="21" xfId="8" applyFont="1" applyFill="1" applyBorder="1" applyAlignment="1">
      <alignment horizontal="center" vertical="top" wrapText="1"/>
    </xf>
    <xf numFmtId="168" fontId="9" fillId="0" borderId="28" xfId="8" applyFont="1" applyFill="1" applyBorder="1" applyAlignment="1"/>
    <xf numFmtId="168" fontId="4" fillId="0" borderId="28" xfId="8" applyFont="1" applyFill="1" applyBorder="1" applyAlignment="1">
      <alignment horizontal="center"/>
    </xf>
    <xf numFmtId="168" fontId="4" fillId="0" borderId="31" xfId="8" applyFont="1" applyFill="1" applyBorder="1"/>
    <xf numFmtId="168" fontId="4" fillId="0" borderId="17" xfId="8" applyFont="1" applyFill="1" applyBorder="1"/>
    <xf numFmtId="168" fontId="4" fillId="0" borderId="17" xfId="8" applyFont="1" applyFill="1" applyBorder="1" applyAlignment="1"/>
    <xf numFmtId="168" fontId="7" fillId="0" borderId="17" xfId="8" applyFont="1" applyFill="1" applyBorder="1" applyAlignment="1">
      <alignment wrapText="1"/>
    </xf>
    <xf numFmtId="168" fontId="4" fillId="0" borderId="21" xfId="8" applyFont="1" applyFill="1" applyBorder="1" applyAlignment="1"/>
    <xf numFmtId="168" fontId="11" fillId="0" borderId="4" xfId="8" applyFont="1" applyFill="1" applyBorder="1" applyAlignment="1">
      <alignment horizontal="right" wrapText="1"/>
    </xf>
    <xf numFmtId="168" fontId="11" fillId="0" borderId="0" xfId="8" applyFont="1" applyFill="1" applyBorder="1"/>
    <xf numFmtId="168" fontId="11" fillId="0" borderId="35" xfId="8" applyFont="1" applyFill="1" applyBorder="1"/>
    <xf numFmtId="168" fontId="4" fillId="0" borderId="35" xfId="8" applyFont="1" applyFill="1" applyBorder="1"/>
    <xf numFmtId="168" fontId="12" fillId="0" borderId="28" xfId="8" applyFont="1" applyFill="1" applyBorder="1" applyAlignment="1">
      <alignment horizontal="right" vertical="top" wrapText="1"/>
    </xf>
    <xf numFmtId="2" fontId="43" fillId="0" borderId="0" xfId="0" applyNumberFormat="1" applyFont="1"/>
    <xf numFmtId="0" fontId="22" fillId="10" borderId="17" xfId="0" applyFont="1" applyFill="1" applyBorder="1" applyAlignment="1">
      <alignment vertical="center" wrapText="1"/>
    </xf>
    <xf numFmtId="0" fontId="43" fillId="0" borderId="17" xfId="0" applyFont="1" applyBorder="1" applyAlignment="1">
      <alignment vertical="center" wrapText="1"/>
    </xf>
    <xf numFmtId="2" fontId="43" fillId="0" borderId="17" xfId="0" applyNumberFormat="1" applyFont="1" applyBorder="1"/>
    <xf numFmtId="0" fontId="43" fillId="0" borderId="17" xfId="0" applyFont="1" applyBorder="1" applyAlignment="1">
      <alignment horizontal="right" vertical="center" wrapText="1"/>
    </xf>
    <xf numFmtId="168" fontId="43" fillId="0" borderId="17" xfId="8" applyFont="1" applyBorder="1"/>
    <xf numFmtId="0" fontId="4" fillId="0" borderId="4" xfId="5" quotePrefix="1" applyFont="1" applyBorder="1"/>
    <xf numFmtId="49" fontId="7" fillId="0" borderId="1" xfId="8" applyNumberFormat="1" applyFont="1" applyFill="1" applyBorder="1" applyAlignment="1">
      <alignment horizontal="center" vertical="top" wrapText="1"/>
    </xf>
    <xf numFmtId="168" fontId="17" fillId="0" borderId="14" xfId="8" applyFont="1" applyFill="1" applyBorder="1" applyAlignment="1">
      <alignment horizontal="center" wrapText="1"/>
    </xf>
    <xf numFmtId="168" fontId="11" fillId="0" borderId="14" xfId="8" applyFont="1" applyFill="1" applyBorder="1"/>
    <xf numFmtId="168" fontId="4" fillId="0" borderId="24" xfId="8" applyFont="1" applyFill="1" applyBorder="1" applyAlignment="1"/>
    <xf numFmtId="168" fontId="4" fillId="0" borderId="1" xfId="8" applyFont="1" applyFill="1" applyBorder="1" applyAlignment="1"/>
    <xf numFmtId="168" fontId="11" fillId="0" borderId="1" xfId="8" applyFont="1" applyFill="1" applyBorder="1" applyAlignment="1">
      <alignment horizontal="right"/>
    </xf>
    <xf numFmtId="168" fontId="12" fillId="0" borderId="1" xfId="8" applyFont="1" applyFill="1" applyBorder="1" applyAlignment="1">
      <alignment horizontal="right" vertical="top" wrapText="1"/>
    </xf>
    <xf numFmtId="49" fontId="7" fillId="0" borderId="21" xfId="8" applyNumberFormat="1" applyFont="1" applyFill="1" applyBorder="1" applyAlignment="1">
      <alignment horizontal="center" vertical="top" wrapText="1"/>
    </xf>
    <xf numFmtId="168" fontId="4" fillId="0" borderId="1" xfId="8" applyFont="1" applyFill="1" applyBorder="1" applyAlignment="1">
      <alignment horizontal="center"/>
    </xf>
    <xf numFmtId="168" fontId="4" fillId="0" borderId="48" xfId="8" applyFont="1" applyFill="1" applyBorder="1"/>
    <xf numFmtId="168" fontId="4" fillId="0" borderId="49" xfId="8" applyFont="1" applyFill="1" applyBorder="1"/>
    <xf numFmtId="168" fontId="7" fillId="0" borderId="45" xfId="8" applyFont="1" applyFill="1" applyBorder="1" applyAlignment="1">
      <alignment horizontal="center" vertical="top" wrapText="1"/>
    </xf>
    <xf numFmtId="168" fontId="9" fillId="0" borderId="1" xfId="8" applyFont="1" applyFill="1" applyBorder="1" applyAlignment="1"/>
    <xf numFmtId="168" fontId="4" fillId="0" borderId="48" xfId="8" applyFont="1" applyFill="1" applyBorder="1" applyAlignment="1"/>
    <xf numFmtId="168" fontId="4" fillId="0" borderId="49" xfId="8" applyFont="1" applyFill="1" applyBorder="1" applyAlignment="1"/>
    <xf numFmtId="168" fontId="7" fillId="0" borderId="49" xfId="8" applyFont="1" applyFill="1" applyBorder="1" applyAlignment="1">
      <alignment wrapText="1"/>
    </xf>
    <xf numFmtId="168" fontId="4" fillId="0" borderId="45" xfId="8" applyFont="1" applyFill="1" applyBorder="1" applyAlignment="1"/>
    <xf numFmtId="168" fontId="11" fillId="0" borderId="46" xfId="8" applyFont="1" applyFill="1" applyBorder="1"/>
    <xf numFmtId="168" fontId="7" fillId="0" borderId="1" xfId="8" applyFont="1" applyFill="1" applyBorder="1" applyAlignment="1">
      <alignment horizontal="left" wrapText="1"/>
    </xf>
    <xf numFmtId="168" fontId="4" fillId="0" borderId="46" xfId="8" applyFont="1" applyFill="1" applyBorder="1"/>
    <xf numFmtId="168" fontId="11" fillId="0" borderId="0" xfId="8" applyFont="1" applyFill="1" applyBorder="1" applyAlignment="1">
      <alignment horizontal="right" wrapText="1"/>
    </xf>
    <xf numFmtId="168" fontId="4" fillId="0" borderId="0" xfId="8" applyFont="1" applyFill="1"/>
    <xf numFmtId="0" fontId="7" fillId="0" borderId="17" xfId="8" applyNumberFormat="1" applyFont="1" applyFill="1" applyBorder="1" applyAlignment="1">
      <alignment horizontal="center" vertical="top"/>
    </xf>
    <xf numFmtId="168" fontId="16" fillId="0" borderId="17" xfId="8" applyFont="1" applyFill="1" applyBorder="1"/>
    <xf numFmtId="168" fontId="11" fillId="0" borderId="17" xfId="8" applyFont="1" applyFill="1" applyBorder="1"/>
    <xf numFmtId="0" fontId="12" fillId="0" borderId="17" xfId="8" applyNumberFormat="1" applyFont="1" applyFill="1" applyBorder="1" applyAlignment="1">
      <alignment vertical="top"/>
    </xf>
    <xf numFmtId="0" fontId="4" fillId="0" borderId="17" xfId="8" applyNumberFormat="1" applyFont="1" applyFill="1" applyBorder="1" applyAlignment="1">
      <alignment vertical="top"/>
    </xf>
    <xf numFmtId="0" fontId="7" fillId="0" borderId="17" xfId="8" applyNumberFormat="1" applyFont="1" applyFill="1" applyBorder="1" applyAlignment="1">
      <alignment vertical="top"/>
    </xf>
    <xf numFmtId="49" fontId="7" fillId="0" borderId="17" xfId="8" applyNumberFormat="1" applyFont="1" applyFill="1" applyBorder="1" applyAlignment="1">
      <alignment vertical="top"/>
    </xf>
    <xf numFmtId="0" fontId="17" fillId="4" borderId="1" xfId="2" applyFont="1" applyFill="1" applyBorder="1" applyAlignment="1">
      <alignment horizontal="center" vertical="center"/>
    </xf>
    <xf numFmtId="0" fontId="17" fillId="4" borderId="2" xfId="2" applyFont="1" applyFill="1" applyBorder="1" applyAlignment="1">
      <alignment horizontal="center" vertical="center"/>
    </xf>
    <xf numFmtId="0" fontId="17" fillId="4" borderId="3" xfId="2" applyFont="1" applyFill="1" applyBorder="1" applyAlignment="1">
      <alignment horizontal="center" vertical="center"/>
    </xf>
    <xf numFmtId="0" fontId="17" fillId="4" borderId="1" xfId="2" applyFont="1" applyFill="1" applyBorder="1" applyAlignment="1">
      <alignment horizontal="center" wrapText="1"/>
    </xf>
    <xf numFmtId="0" fontId="17" fillId="4" borderId="2" xfId="2" applyFont="1" applyFill="1" applyBorder="1" applyAlignment="1">
      <alignment horizontal="center" wrapText="1"/>
    </xf>
    <xf numFmtId="0" fontId="17" fillId="5" borderId="1" xfId="2" applyFont="1" applyFill="1" applyBorder="1" applyAlignment="1">
      <alignment horizontal="center" vertical="center"/>
    </xf>
    <xf numFmtId="0" fontId="17" fillId="5" borderId="2" xfId="2" applyFont="1" applyFill="1" applyBorder="1" applyAlignment="1">
      <alignment horizontal="center" vertical="center"/>
    </xf>
    <xf numFmtId="0" fontId="17" fillId="5" borderId="3" xfId="2" applyFont="1" applyFill="1" applyBorder="1" applyAlignment="1">
      <alignment horizontal="center" vertical="center"/>
    </xf>
    <xf numFmtId="0" fontId="17" fillId="5" borderId="1" xfId="2" applyFont="1" applyFill="1" applyBorder="1" applyAlignment="1">
      <alignment horizontal="center" wrapText="1"/>
    </xf>
    <xf numFmtId="0" fontId="17" fillId="5" borderId="2" xfId="2" applyFont="1" applyFill="1" applyBorder="1" applyAlignment="1">
      <alignment horizontal="center" wrapText="1"/>
    </xf>
    <xf numFmtId="0" fontId="17" fillId="7" borderId="1" xfId="2" applyFont="1" applyFill="1" applyBorder="1" applyAlignment="1">
      <alignment horizontal="center" vertical="center"/>
    </xf>
    <xf numFmtId="0" fontId="17" fillId="7" borderId="2" xfId="2" applyFont="1" applyFill="1" applyBorder="1" applyAlignment="1">
      <alignment horizontal="center" vertical="center"/>
    </xf>
    <xf numFmtId="0" fontId="17" fillId="7" borderId="3" xfId="2" applyFont="1" applyFill="1" applyBorder="1" applyAlignment="1">
      <alignment horizontal="center" vertical="center"/>
    </xf>
    <xf numFmtId="0" fontId="17" fillId="7" borderId="1" xfId="2" applyFont="1" applyFill="1" applyBorder="1" applyAlignment="1">
      <alignment horizontal="center" wrapText="1"/>
    </xf>
    <xf numFmtId="0" fontId="17" fillId="7" borderId="2" xfId="2" applyFont="1" applyFill="1" applyBorder="1" applyAlignment="1">
      <alignment horizontal="center" wrapText="1"/>
    </xf>
    <xf numFmtId="0" fontId="11" fillId="0" borderId="1" xfId="0" applyFont="1" applyBorder="1" applyAlignment="1">
      <alignment horizontal="left" vertical="top" wrapText="1"/>
    </xf>
    <xf numFmtId="0" fontId="11" fillId="0" borderId="3" xfId="0" applyFont="1" applyBorder="1" applyAlignment="1">
      <alignment horizontal="left" vertical="top" wrapText="1"/>
    </xf>
    <xf numFmtId="0" fontId="5" fillId="8" borderId="1" xfId="2" applyFont="1" applyFill="1" applyBorder="1" applyAlignment="1">
      <alignment horizontal="center" vertical="center"/>
    </xf>
    <xf numFmtId="0" fontId="5" fillId="8" borderId="2" xfId="2" applyFont="1" applyFill="1" applyBorder="1" applyAlignment="1">
      <alignment horizontal="center" vertical="center"/>
    </xf>
    <xf numFmtId="0" fontId="5" fillId="8" borderId="3" xfId="2" applyFont="1" applyFill="1" applyBorder="1" applyAlignment="1">
      <alignment horizontal="center" vertical="center"/>
    </xf>
    <xf numFmtId="0" fontId="5" fillId="8" borderId="1" xfId="2" applyFont="1" applyFill="1" applyBorder="1" applyAlignment="1">
      <alignment horizontal="center" wrapText="1"/>
    </xf>
    <xf numFmtId="0" fontId="5" fillId="8" borderId="2" xfId="2" applyFont="1" applyFill="1" applyBorder="1" applyAlignment="1">
      <alignment horizontal="center" wrapText="1"/>
    </xf>
    <xf numFmtId="0" fontId="7" fillId="8" borderId="1" xfId="2" applyFont="1" applyFill="1" applyBorder="1" applyAlignment="1">
      <alignment horizontal="center" vertical="center"/>
    </xf>
    <xf numFmtId="0" fontId="7" fillId="8" borderId="2" xfId="2" applyFont="1" applyFill="1" applyBorder="1" applyAlignment="1">
      <alignment horizontal="center" vertical="center"/>
    </xf>
    <xf numFmtId="0" fontId="7" fillId="8" borderId="3" xfId="2" applyFont="1" applyFill="1" applyBorder="1" applyAlignment="1">
      <alignment horizontal="center" vertical="center"/>
    </xf>
    <xf numFmtId="0" fontId="7" fillId="8" borderId="1" xfId="2" applyFont="1" applyFill="1" applyBorder="1" applyAlignment="1">
      <alignment horizontal="center" wrapText="1"/>
    </xf>
    <xf numFmtId="0" fontId="7" fillId="8" borderId="2" xfId="2" applyFont="1" applyFill="1" applyBorder="1" applyAlignment="1">
      <alignment horizontal="center" wrapText="1"/>
    </xf>
    <xf numFmtId="0" fontId="7" fillId="7" borderId="1" xfId="2" applyFont="1" applyFill="1" applyBorder="1" applyAlignment="1">
      <alignment horizontal="center" vertical="center"/>
    </xf>
    <xf numFmtId="0" fontId="7" fillId="7" borderId="2" xfId="2" applyFont="1" applyFill="1" applyBorder="1" applyAlignment="1">
      <alignment horizontal="center" vertical="center"/>
    </xf>
    <xf numFmtId="0" fontId="7" fillId="7" borderId="3" xfId="2" applyFont="1" applyFill="1" applyBorder="1" applyAlignment="1">
      <alignment horizontal="center" vertical="center"/>
    </xf>
    <xf numFmtId="0" fontId="7" fillId="7" borderId="1" xfId="2" applyFont="1" applyFill="1" applyBorder="1" applyAlignment="1">
      <alignment horizontal="center" wrapText="1"/>
    </xf>
    <xf numFmtId="0" fontId="7" fillId="7" borderId="2" xfId="2" applyFont="1" applyFill="1" applyBorder="1" applyAlignment="1">
      <alignment horizontal="center" wrapText="1"/>
    </xf>
    <xf numFmtId="0" fontId="7" fillId="4" borderId="1" xfId="2" applyFont="1" applyFill="1" applyBorder="1" applyAlignment="1">
      <alignment horizontal="center" vertical="center"/>
    </xf>
    <xf numFmtId="0" fontId="7" fillId="4" borderId="2" xfId="2" applyFont="1" applyFill="1" applyBorder="1" applyAlignment="1">
      <alignment horizontal="center" vertical="center"/>
    </xf>
    <xf numFmtId="0" fontId="7" fillId="4" borderId="3" xfId="2" applyFont="1" applyFill="1" applyBorder="1" applyAlignment="1">
      <alignment horizontal="center" vertical="center"/>
    </xf>
    <xf numFmtId="0" fontId="7" fillId="4" borderId="1" xfId="2" applyFont="1" applyFill="1" applyBorder="1" applyAlignment="1">
      <alignment horizontal="center" wrapText="1"/>
    </xf>
    <xf numFmtId="0" fontId="7" fillId="4" borderId="2" xfId="2" applyFont="1" applyFill="1" applyBorder="1" applyAlignment="1">
      <alignment horizontal="center" wrapText="1"/>
    </xf>
    <xf numFmtId="0" fontId="7" fillId="4" borderId="3" xfId="2" applyFont="1" applyFill="1" applyBorder="1" applyAlignment="1">
      <alignment horizontal="center" wrapText="1"/>
    </xf>
    <xf numFmtId="0" fontId="7" fillId="5" borderId="1" xfId="2" applyFont="1" applyFill="1" applyBorder="1" applyAlignment="1">
      <alignment horizontal="center" vertical="center"/>
    </xf>
    <xf numFmtId="0" fontId="7" fillId="5" borderId="2" xfId="2" applyFont="1" applyFill="1" applyBorder="1" applyAlignment="1">
      <alignment horizontal="center" vertical="center"/>
    </xf>
    <xf numFmtId="0" fontId="7" fillId="5" borderId="3" xfId="2" applyFont="1" applyFill="1" applyBorder="1" applyAlignment="1">
      <alignment horizontal="center" vertical="center"/>
    </xf>
    <xf numFmtId="0" fontId="7" fillId="5" borderId="1" xfId="2" applyFont="1" applyFill="1" applyBorder="1" applyAlignment="1">
      <alignment horizontal="center" wrapText="1"/>
    </xf>
    <xf numFmtId="0" fontId="7" fillId="5" borderId="2" xfId="2" applyFont="1" applyFill="1" applyBorder="1" applyAlignment="1">
      <alignment horizontal="center" wrapText="1"/>
    </xf>
    <xf numFmtId="168" fontId="7" fillId="0" borderId="2" xfId="8" applyFont="1" applyFill="1" applyBorder="1" applyAlignment="1">
      <alignment vertical="top" wrapText="1"/>
    </xf>
    <xf numFmtId="168" fontId="7" fillId="0" borderId="3" xfId="8" applyFont="1" applyFill="1" applyBorder="1" applyAlignment="1">
      <alignment vertical="top" wrapText="1"/>
    </xf>
    <xf numFmtId="0" fontId="17" fillId="8" borderId="0" xfId="2" applyFont="1" applyFill="1" applyAlignment="1">
      <alignment horizontal="center" wrapText="1"/>
    </xf>
    <xf numFmtId="0" fontId="7" fillId="0" borderId="1" xfId="2" applyFont="1" applyBorder="1" applyAlignment="1">
      <alignment horizontal="center" vertical="center"/>
    </xf>
    <xf numFmtId="0" fontId="7" fillId="0" borderId="2" xfId="2" applyFont="1" applyBorder="1" applyAlignment="1">
      <alignment horizontal="center" vertical="center"/>
    </xf>
    <xf numFmtId="0" fontId="7" fillId="0" borderId="3" xfId="2" applyFont="1" applyBorder="1" applyAlignment="1">
      <alignment horizontal="center" vertical="center"/>
    </xf>
    <xf numFmtId="0" fontId="7" fillId="3" borderId="1" xfId="2" applyFont="1" applyFill="1" applyBorder="1" applyAlignment="1">
      <alignment horizontal="center" vertical="center"/>
    </xf>
    <xf numFmtId="0" fontId="7" fillId="3" borderId="2" xfId="2" applyFont="1" applyFill="1" applyBorder="1" applyAlignment="1">
      <alignment horizontal="center" vertical="center"/>
    </xf>
    <xf numFmtId="0" fontId="7" fillId="3" borderId="3" xfId="2" applyFont="1" applyFill="1" applyBorder="1" applyAlignment="1">
      <alignment horizontal="center" vertical="center"/>
    </xf>
    <xf numFmtId="0" fontId="17" fillId="8" borderId="1" xfId="2" applyFont="1" applyFill="1" applyBorder="1" applyAlignment="1">
      <alignment horizontal="center" vertical="center"/>
    </xf>
    <xf numFmtId="0" fontId="17" fillId="8" borderId="2" xfId="2" applyFont="1" applyFill="1" applyBorder="1" applyAlignment="1">
      <alignment horizontal="center" vertical="center"/>
    </xf>
    <xf numFmtId="0" fontId="17" fillId="8" borderId="3" xfId="2" applyFont="1" applyFill="1" applyBorder="1" applyAlignment="1">
      <alignment horizontal="center" vertical="center"/>
    </xf>
    <xf numFmtId="0" fontId="0" fillId="3" borderId="2" xfId="0" applyFill="1" applyBorder="1" applyAlignment="1">
      <alignment horizontal="left" wrapText="1"/>
    </xf>
    <xf numFmtId="0" fontId="0" fillId="3" borderId="3" xfId="0" applyFill="1" applyBorder="1" applyAlignment="1">
      <alignment horizontal="left" wrapText="1"/>
    </xf>
    <xf numFmtId="0" fontId="7" fillId="3" borderId="2" xfId="2" applyFont="1" applyFill="1" applyBorder="1" applyAlignment="1">
      <alignment horizontal="left" wrapText="1"/>
    </xf>
    <xf numFmtId="0" fontId="7" fillId="3" borderId="3" xfId="2" applyFont="1" applyFill="1" applyBorder="1" applyAlignment="1">
      <alignment horizontal="left" wrapText="1"/>
    </xf>
    <xf numFmtId="0" fontId="7" fillId="0" borderId="2" xfId="2" applyFont="1" applyBorder="1" applyAlignment="1">
      <alignment vertical="top" wrapText="1"/>
    </xf>
    <xf numFmtId="0" fontId="7" fillId="0" borderId="3" xfId="2" applyFont="1" applyBorder="1" applyAlignment="1">
      <alignment vertical="top" wrapText="1"/>
    </xf>
    <xf numFmtId="0" fontId="7" fillId="0" borderId="2" xfId="2" applyFont="1" applyBorder="1" applyAlignment="1">
      <alignment horizontal="left" wrapText="1"/>
    </xf>
    <xf numFmtId="0" fontId="7" fillId="0" borderId="3" xfId="2" applyFont="1" applyBorder="1" applyAlignment="1">
      <alignment horizontal="left" wrapText="1"/>
    </xf>
    <xf numFmtId="168" fontId="7" fillId="3" borderId="2" xfId="8" applyFont="1" applyFill="1" applyBorder="1" applyAlignment="1">
      <alignment horizontal="left" wrapText="1"/>
    </xf>
    <xf numFmtId="168" fontId="7" fillId="0" borderId="2" xfId="8" applyFont="1" applyFill="1" applyBorder="1" applyAlignment="1">
      <alignment horizontal="left" wrapText="1"/>
    </xf>
    <xf numFmtId="168" fontId="17" fillId="8" borderId="0" xfId="8" applyFont="1" applyFill="1" applyBorder="1" applyAlignment="1">
      <alignment horizontal="center" wrapText="1"/>
    </xf>
    <xf numFmtId="0" fontId="42" fillId="0" borderId="0" xfId="0" applyFont="1" applyAlignment="1">
      <alignment horizontal="justify" vertical="center"/>
    </xf>
    <xf numFmtId="0" fontId="40" fillId="0" borderId="0" xfId="0" applyFont="1" applyAlignment="1">
      <alignment horizontal="justify" vertical="center"/>
    </xf>
    <xf numFmtId="0" fontId="4" fillId="0" borderId="1" xfId="5" applyFont="1" applyBorder="1" applyAlignment="1">
      <alignment horizontal="left" wrapText="1"/>
    </xf>
    <xf numFmtId="0" fontId="4" fillId="0" borderId="2" xfId="5" applyFont="1" applyBorder="1" applyAlignment="1">
      <alignment horizontal="left" wrapText="1"/>
    </xf>
    <xf numFmtId="0" fontId="4" fillId="0" borderId="3" xfId="5" applyFont="1" applyBorder="1" applyAlignment="1">
      <alignment horizontal="left" wrapText="1"/>
    </xf>
    <xf numFmtId="0" fontId="7" fillId="2" borderId="1" xfId="2" applyFont="1" applyFill="1" applyBorder="1" applyAlignment="1">
      <alignment horizontal="left"/>
    </xf>
    <xf numFmtId="0" fontId="7" fillId="2" borderId="2" xfId="2" applyFont="1" applyFill="1" applyBorder="1" applyAlignment="1">
      <alignment horizontal="left"/>
    </xf>
    <xf numFmtId="0" fontId="7" fillId="2" borderId="3" xfId="2" applyFont="1" applyFill="1" applyBorder="1" applyAlignment="1">
      <alignment horizontal="left"/>
    </xf>
    <xf numFmtId="0" fontId="4" fillId="2" borderId="49" xfId="2" applyFont="1" applyFill="1" applyBorder="1" applyAlignment="1">
      <alignment horizontal="left"/>
    </xf>
    <xf numFmtId="0" fontId="4" fillId="2" borderId="92" xfId="2" applyFont="1" applyFill="1" applyBorder="1" applyAlignment="1">
      <alignment horizontal="left"/>
    </xf>
    <xf numFmtId="0" fontId="4" fillId="2" borderId="49" xfId="2" applyFont="1" applyFill="1" applyBorder="1" applyAlignment="1">
      <alignment horizontal="center"/>
    </xf>
    <xf numFmtId="0" fontId="4" fillId="2" borderId="92" xfId="2" applyFont="1" applyFill="1" applyBorder="1" applyAlignment="1">
      <alignment horizontal="center"/>
    </xf>
    <xf numFmtId="0" fontId="4" fillId="2" borderId="8" xfId="2" applyFont="1" applyFill="1" applyBorder="1" applyAlignment="1">
      <alignment horizontal="center"/>
    </xf>
    <xf numFmtId="0" fontId="4" fillId="2" borderId="44" xfId="2" applyFont="1" applyFill="1" applyBorder="1" applyAlignment="1">
      <alignment horizontal="center"/>
    </xf>
    <xf numFmtId="0" fontId="18" fillId="0" borderId="0" xfId="0" applyFont="1" applyAlignment="1">
      <alignment wrapText="1"/>
    </xf>
    <xf numFmtId="0" fontId="0" fillId="0" borderId="0" xfId="0" applyAlignment="1">
      <alignment wrapText="1"/>
    </xf>
    <xf numFmtId="0" fontId="17" fillId="8" borderId="1" xfId="2" applyFont="1" applyFill="1" applyBorder="1" applyAlignment="1">
      <alignment horizontal="center" wrapText="1"/>
    </xf>
    <xf numFmtId="0" fontId="17" fillId="8" borderId="2" xfId="2" applyFont="1" applyFill="1" applyBorder="1" applyAlignment="1">
      <alignment horizontal="center" wrapText="1"/>
    </xf>
    <xf numFmtId="0" fontId="0" fillId="0" borderId="17" xfId="0" applyBorder="1" applyAlignment="1">
      <alignment horizontal="right" vertical="center" wrapText="1"/>
    </xf>
    <xf numFmtId="0" fontId="19" fillId="0" borderId="49" xfId="0" applyFont="1" applyBorder="1" applyAlignment="1">
      <alignment horizontal="center" vertical="center" wrapText="1"/>
    </xf>
    <xf numFmtId="0" fontId="19" fillId="0" borderId="15" xfId="0" applyFont="1" applyBorder="1" applyAlignment="1">
      <alignment horizontal="center" vertical="center" wrapText="1"/>
    </xf>
    <xf numFmtId="0" fontId="19" fillId="0" borderId="92" xfId="0" applyFont="1" applyBorder="1" applyAlignment="1">
      <alignment horizontal="center" vertical="center" wrapText="1"/>
    </xf>
    <xf numFmtId="2" fontId="0" fillId="4" borderId="21" xfId="0" applyNumberFormat="1" applyFill="1" applyBorder="1" applyAlignment="1">
      <alignment horizontal="center"/>
    </xf>
    <xf numFmtId="2" fontId="0" fillId="4" borderId="31" xfId="0" applyNumberFormat="1" applyFill="1" applyBorder="1" applyAlignment="1">
      <alignment horizontal="center"/>
    </xf>
    <xf numFmtId="2" fontId="0" fillId="4" borderId="9" xfId="0" applyNumberFormat="1" applyFill="1" applyBorder="1" applyAlignment="1">
      <alignment horizontal="center"/>
    </xf>
    <xf numFmtId="2" fontId="0" fillId="4" borderId="35" xfId="0" applyNumberFormat="1" applyFill="1" applyBorder="1" applyAlignment="1">
      <alignment horizontal="center"/>
    </xf>
    <xf numFmtId="168" fontId="0" fillId="4" borderId="96" xfId="8" applyFont="1" applyFill="1" applyBorder="1" applyAlignment="1">
      <alignment horizontal="center"/>
    </xf>
    <xf numFmtId="2" fontId="0" fillId="0" borderId="21" xfId="0" applyNumberFormat="1" applyBorder="1" applyAlignment="1">
      <alignment horizontal="center"/>
    </xf>
    <xf numFmtId="2" fontId="0" fillId="0" borderId="31" xfId="0" applyNumberFormat="1" applyBorder="1" applyAlignment="1">
      <alignment horizontal="center"/>
    </xf>
    <xf numFmtId="2" fontId="0" fillId="0" borderId="21" xfId="0" applyNumberFormat="1" applyBorder="1" applyAlignment="1">
      <alignment horizontal="center" vertical="top"/>
    </xf>
    <xf numFmtId="2" fontId="0" fillId="0" borderId="35" xfId="0" applyNumberFormat="1" applyBorder="1" applyAlignment="1">
      <alignment horizontal="center" vertical="top"/>
    </xf>
    <xf numFmtId="2" fontId="0" fillId="0" borderId="53" xfId="0" applyNumberFormat="1" applyBorder="1" applyAlignment="1">
      <alignment horizontal="center" vertical="top"/>
    </xf>
    <xf numFmtId="2" fontId="0" fillId="0" borderId="51" xfId="0" applyNumberFormat="1" applyBorder="1" applyAlignment="1">
      <alignment horizontal="center" vertical="top"/>
    </xf>
    <xf numFmtId="2" fontId="0" fillId="0" borderId="4" xfId="0" applyNumberFormat="1" applyBorder="1" applyAlignment="1">
      <alignment horizontal="center" vertical="top"/>
    </xf>
    <xf numFmtId="2" fontId="0" fillId="4" borderId="4" xfId="0" applyNumberFormat="1" applyFill="1" applyBorder="1" applyAlignment="1">
      <alignment horizontal="center"/>
    </xf>
    <xf numFmtId="2" fontId="0" fillId="4" borderId="51" xfId="0" applyNumberFormat="1" applyFill="1" applyBorder="1" applyAlignment="1">
      <alignment horizontal="center"/>
    </xf>
    <xf numFmtId="168" fontId="0" fillId="0" borderId="14" xfId="8" applyFont="1" applyBorder="1" applyAlignment="1">
      <alignment horizontal="center" vertical="top"/>
    </xf>
    <xf numFmtId="168" fontId="0" fillId="0" borderId="24" xfId="8" applyFont="1" applyBorder="1" applyAlignment="1">
      <alignment horizontal="center" vertical="top"/>
    </xf>
    <xf numFmtId="168" fontId="26" fillId="0" borderId="5" xfId="8" applyFont="1" applyBorder="1" applyAlignment="1">
      <alignment horizontal="center" vertical="top" wrapText="1"/>
    </xf>
    <xf numFmtId="168" fontId="26" fillId="0" borderId="24" xfId="8" applyFont="1" applyBorder="1" applyAlignment="1">
      <alignment horizontal="center" vertical="top" wrapText="1"/>
    </xf>
    <xf numFmtId="168" fontId="0" fillId="0" borderId="5" xfId="8" applyFont="1" applyBorder="1" applyAlignment="1">
      <alignment horizontal="center" vertical="top"/>
    </xf>
    <xf numFmtId="168" fontId="26" fillId="4" borderId="5" xfId="8" applyFont="1" applyFill="1" applyBorder="1" applyAlignment="1">
      <alignment horizontal="center" vertical="top" wrapText="1"/>
    </xf>
    <xf numFmtId="168" fontId="26" fillId="4" borderId="24" xfId="8" applyFont="1" applyFill="1" applyBorder="1" applyAlignment="1">
      <alignment horizontal="center" vertical="top" wrapText="1"/>
    </xf>
    <xf numFmtId="168" fontId="26" fillId="4" borderId="14" xfId="8" applyFont="1" applyFill="1" applyBorder="1" applyAlignment="1">
      <alignment horizontal="center" vertical="top" wrapText="1"/>
    </xf>
    <xf numFmtId="0" fontId="26" fillId="0" borderId="71" xfId="0" applyFont="1" applyBorder="1" applyAlignment="1">
      <alignment vertical="top" wrapText="1"/>
    </xf>
    <xf numFmtId="0" fontId="26" fillId="0" borderId="73" xfId="0" applyFont="1" applyBorder="1" applyAlignment="1">
      <alignment vertical="top" wrapText="1"/>
    </xf>
    <xf numFmtId="0" fontId="26" fillId="0" borderId="5" xfId="0" applyFont="1" applyBorder="1" applyAlignment="1">
      <alignment horizontal="center" vertical="top" wrapText="1"/>
    </xf>
    <xf numFmtId="0" fontId="26" fillId="0" borderId="6" xfId="0" applyFont="1" applyBorder="1" applyAlignment="1">
      <alignment horizontal="center" vertical="top" wrapText="1"/>
    </xf>
    <xf numFmtId="0" fontId="26" fillId="0" borderId="7" xfId="0" applyFont="1" applyBorder="1" applyAlignment="1">
      <alignment horizontal="center" vertical="top" wrapText="1"/>
    </xf>
    <xf numFmtId="0" fontId="26" fillId="0" borderId="24" xfId="0" applyFont="1" applyBorder="1" applyAlignment="1">
      <alignment horizontal="center" vertical="top" wrapText="1"/>
    </xf>
    <xf numFmtId="0" fontId="26" fillId="0" borderId="39" xfId="0" applyFont="1" applyBorder="1" applyAlignment="1">
      <alignment horizontal="center" vertical="top" wrapText="1"/>
    </xf>
    <xf numFmtId="0" fontId="26" fillId="0" borderId="52" xfId="0" applyFont="1" applyBorder="1" applyAlignment="1">
      <alignment horizontal="center" vertical="top" wrapText="1"/>
    </xf>
    <xf numFmtId="166" fontId="26" fillId="0" borderId="74" xfId="0" applyNumberFormat="1" applyFont="1" applyBorder="1" applyAlignment="1">
      <alignment horizontal="center" vertical="top" wrapText="1"/>
    </xf>
    <xf numFmtId="0" fontId="26" fillId="0" borderId="76" xfId="0" applyFont="1" applyBorder="1" applyAlignment="1">
      <alignment horizontal="center" vertical="top" wrapText="1"/>
    </xf>
    <xf numFmtId="10" fontId="0" fillId="0" borderId="53" xfId="0" applyNumberFormat="1" applyBorder="1" applyAlignment="1">
      <alignment horizontal="center"/>
    </xf>
    <xf numFmtId="10" fontId="0" fillId="0" borderId="51" xfId="0" applyNumberFormat="1" applyBorder="1" applyAlignment="1">
      <alignment horizontal="center"/>
    </xf>
    <xf numFmtId="166" fontId="0" fillId="0" borderId="53" xfId="0" applyNumberFormat="1" applyBorder="1" applyAlignment="1">
      <alignment horizontal="center"/>
    </xf>
    <xf numFmtId="166" fontId="0" fillId="0" borderId="51" xfId="0" applyNumberFormat="1" applyBorder="1" applyAlignment="1">
      <alignment horizontal="center"/>
    </xf>
    <xf numFmtId="172" fontId="0" fillId="0" borderId="14" xfId="0" applyNumberFormat="1" applyBorder="1" applyAlignment="1">
      <alignment horizontal="center" vertical="top"/>
    </xf>
    <xf numFmtId="172" fontId="0" fillId="0" borderId="24" xfId="0" applyNumberFormat="1" applyBorder="1" applyAlignment="1">
      <alignment horizontal="center" vertical="top"/>
    </xf>
    <xf numFmtId="10" fontId="0" fillId="0" borderId="35" xfId="0" applyNumberFormat="1" applyBorder="1"/>
    <xf numFmtId="10" fontId="0" fillId="0" borderId="31" xfId="0" applyNumberFormat="1" applyBorder="1"/>
    <xf numFmtId="172" fontId="0" fillId="0" borderId="46" xfId="0" applyNumberFormat="1" applyBorder="1" applyAlignment="1">
      <alignment horizontal="center"/>
    </xf>
    <xf numFmtId="0" fontId="0" fillId="0" borderId="48" xfId="0" applyBorder="1" applyAlignment="1">
      <alignment horizontal="center"/>
    </xf>
    <xf numFmtId="172" fontId="0" fillId="0" borderId="28" xfId="0" applyNumberFormat="1" applyBorder="1" applyAlignment="1">
      <alignment horizontal="center" vertical="top"/>
    </xf>
    <xf numFmtId="0" fontId="0" fillId="0" borderId="28" xfId="0" applyBorder="1" applyAlignment="1">
      <alignment horizontal="center" vertical="top"/>
    </xf>
    <xf numFmtId="172" fontId="0" fillId="0" borderId="4" xfId="0" applyNumberFormat="1" applyBorder="1" applyAlignment="1">
      <alignment horizontal="center" vertical="top"/>
    </xf>
    <xf numFmtId="172" fontId="0" fillId="0" borderId="51" xfId="0" applyNumberFormat="1" applyBorder="1" applyAlignment="1">
      <alignment horizontal="center" vertical="top"/>
    </xf>
    <xf numFmtId="0" fontId="26" fillId="0" borderId="78" xfId="0" applyFont="1" applyBorder="1" applyAlignment="1">
      <alignment horizontal="center" vertical="top" wrapText="1"/>
    </xf>
    <xf numFmtId="0" fontId="26" fillId="0" borderId="74" xfId="0" applyFont="1" applyBorder="1" applyAlignment="1">
      <alignment horizontal="center" vertical="top" wrapText="1"/>
    </xf>
    <xf numFmtId="10" fontId="0" fillId="0" borderId="4" xfId="0" applyNumberFormat="1" applyBorder="1" applyAlignment="1">
      <alignment horizontal="center"/>
    </xf>
    <xf numFmtId="0" fontId="0" fillId="0" borderId="4" xfId="0" applyBorder="1" applyAlignment="1">
      <alignment horizontal="center"/>
    </xf>
    <xf numFmtId="0" fontId="0" fillId="0" borderId="53" xfId="0" applyBorder="1" applyAlignment="1">
      <alignment horizontal="center"/>
    </xf>
    <xf numFmtId="0" fontId="0" fillId="0" borderId="51" xfId="0" applyBorder="1" applyAlignment="1">
      <alignment horizontal="center"/>
    </xf>
    <xf numFmtId="172" fontId="0" fillId="0" borderId="5" xfId="0" applyNumberFormat="1" applyBorder="1" applyAlignment="1">
      <alignment horizontal="center" vertical="top"/>
    </xf>
    <xf numFmtId="10" fontId="0" fillId="0" borderId="21" xfId="0" applyNumberFormat="1" applyBorder="1"/>
    <xf numFmtId="172" fontId="0" fillId="0" borderId="45" xfId="0" applyNumberFormat="1" applyBorder="1" applyAlignment="1">
      <alignment horizontal="center"/>
    </xf>
    <xf numFmtId="0" fontId="0" fillId="0" borderId="46" xfId="0" applyBorder="1" applyAlignment="1">
      <alignment horizontal="center"/>
    </xf>
    <xf numFmtId="0" fontId="0" fillId="0" borderId="4" xfId="0" applyBorder="1" applyAlignment="1">
      <alignment horizontal="center" vertical="top"/>
    </xf>
    <xf numFmtId="172" fontId="0" fillId="0" borderId="53" xfId="0" applyNumberFormat="1" applyBorder="1" applyAlignment="1">
      <alignment horizontal="center" vertical="top"/>
    </xf>
    <xf numFmtId="0" fontId="26" fillId="4" borderId="5" xfId="0" applyFont="1" applyFill="1" applyBorder="1" applyAlignment="1">
      <alignment horizontal="center" vertical="top" wrapText="1"/>
    </xf>
    <xf numFmtId="0" fontId="26" fillId="4" borderId="6" xfId="0" applyFont="1" applyFill="1" applyBorder="1" applyAlignment="1">
      <alignment horizontal="center" vertical="top" wrapText="1"/>
    </xf>
    <xf numFmtId="0" fontId="26" fillId="4" borderId="7" xfId="0" applyFont="1" applyFill="1" applyBorder="1" applyAlignment="1">
      <alignment horizontal="center" vertical="top" wrapText="1"/>
    </xf>
    <xf numFmtId="0" fontId="26" fillId="4" borderId="24" xfId="0" applyFont="1" applyFill="1" applyBorder="1" applyAlignment="1">
      <alignment horizontal="center" vertical="top" wrapText="1"/>
    </xf>
    <xf numFmtId="0" fontId="26" fillId="4" borderId="39" xfId="0" applyFont="1" applyFill="1" applyBorder="1" applyAlignment="1">
      <alignment horizontal="center" vertical="top" wrapText="1"/>
    </xf>
    <xf numFmtId="0" fontId="26" fillId="4" borderId="52" xfId="0" applyFont="1" applyFill="1" applyBorder="1" applyAlignment="1">
      <alignment horizontal="center" vertical="top" wrapText="1"/>
    </xf>
    <xf numFmtId="0" fontId="26" fillId="0" borderId="76" xfId="0" applyFont="1" applyBorder="1" applyAlignment="1">
      <alignment vertical="top" wrapText="1"/>
    </xf>
    <xf numFmtId="0" fontId="26" fillId="0" borderId="77" xfId="0" applyFont="1" applyBorder="1" applyAlignment="1">
      <alignment vertical="top" wrapText="1"/>
    </xf>
    <xf numFmtId="0" fontId="26" fillId="0" borderId="79" xfId="0" applyFont="1" applyBorder="1" applyAlignment="1">
      <alignment vertical="top" wrapText="1"/>
    </xf>
    <xf numFmtId="0" fontId="26" fillId="0" borderId="80" xfId="0" applyFont="1" applyBorder="1" applyAlignment="1">
      <alignment vertical="top" wrapText="1"/>
    </xf>
    <xf numFmtId="0" fontId="26" fillId="0" borderId="1" xfId="0" applyFont="1" applyBorder="1" applyAlignment="1">
      <alignment vertical="top" wrapText="1"/>
    </xf>
    <xf numFmtId="0" fontId="26" fillId="0" borderId="2" xfId="0" applyFont="1" applyBorder="1" applyAlignment="1">
      <alignment vertical="top" wrapText="1"/>
    </xf>
    <xf numFmtId="0" fontId="26" fillId="4" borderId="5" xfId="0" applyFont="1" applyFill="1" applyBorder="1" applyAlignment="1">
      <alignment horizontal="left" vertical="top" wrapText="1"/>
    </xf>
    <xf numFmtId="0" fontId="26" fillId="4" borderId="6" xfId="0" applyFont="1" applyFill="1" applyBorder="1" applyAlignment="1">
      <alignment horizontal="left" vertical="top" wrapText="1"/>
    </xf>
    <xf numFmtId="0" fontId="26" fillId="4" borderId="24" xfId="0" applyFont="1" applyFill="1" applyBorder="1" applyAlignment="1">
      <alignment horizontal="left" vertical="top" wrapText="1"/>
    </xf>
    <xf numFmtId="0" fontId="26" fillId="4" borderId="39" xfId="0" applyFont="1" applyFill="1" applyBorder="1" applyAlignment="1">
      <alignment horizontal="left" vertical="top" wrapText="1"/>
    </xf>
    <xf numFmtId="0" fontId="26" fillId="4" borderId="66" xfId="0" applyFont="1" applyFill="1" applyBorder="1" applyAlignment="1">
      <alignment horizontal="center" vertical="top" wrapText="1"/>
    </xf>
    <xf numFmtId="0" fontId="26" fillId="4" borderId="14" xfId="0" applyFont="1" applyFill="1" applyBorder="1" applyAlignment="1">
      <alignment horizontal="center" vertical="top" wrapText="1"/>
    </xf>
    <xf numFmtId="0" fontId="26" fillId="4" borderId="0" xfId="0" applyFont="1" applyFill="1" applyAlignment="1">
      <alignment horizontal="center" vertical="top" wrapText="1"/>
    </xf>
    <xf numFmtId="0" fontId="26" fillId="0" borderId="79" xfId="0" applyFont="1" applyBorder="1" applyAlignment="1">
      <alignment horizontal="center" vertical="top" wrapText="1"/>
    </xf>
    <xf numFmtId="0" fontId="26" fillId="0" borderId="80" xfId="0" applyFont="1" applyBorder="1" applyAlignment="1">
      <alignment horizontal="center" vertical="top" wrapText="1"/>
    </xf>
    <xf numFmtId="0" fontId="26" fillId="0" borderId="82" xfId="0" applyFont="1" applyBorder="1" applyAlignment="1">
      <alignment horizontal="center" vertical="top" wrapText="1"/>
    </xf>
    <xf numFmtId="0" fontId="26" fillId="0" borderId="72" xfId="0" applyFont="1" applyBorder="1" applyAlignment="1">
      <alignment horizontal="center" vertical="top" wrapText="1"/>
    </xf>
    <xf numFmtId="0" fontId="26" fillId="0" borderId="83" xfId="0" applyFont="1" applyBorder="1" applyAlignment="1">
      <alignment horizontal="center" vertical="top" wrapText="1"/>
    </xf>
    <xf numFmtId="166" fontId="26" fillId="0" borderId="79" xfId="0" applyNumberFormat="1" applyFont="1" applyBorder="1" applyAlignment="1">
      <alignment horizontal="center" vertical="top" wrapText="1"/>
    </xf>
    <xf numFmtId="166" fontId="26" fillId="0" borderId="88" xfId="0" applyNumberFormat="1" applyFont="1" applyBorder="1" applyAlignment="1">
      <alignment horizontal="center" vertical="top" wrapText="1"/>
    </xf>
    <xf numFmtId="166" fontId="26" fillId="0" borderId="85" xfId="0" applyNumberFormat="1" applyFont="1" applyBorder="1" applyAlignment="1">
      <alignment horizontal="center" vertical="top" wrapText="1"/>
    </xf>
    <xf numFmtId="0" fontId="26" fillId="0" borderId="86" xfId="0" applyFont="1" applyBorder="1" applyAlignment="1">
      <alignment horizontal="center" vertical="top" wrapText="1"/>
    </xf>
    <xf numFmtId="0" fontId="26" fillId="0" borderId="87" xfId="0" applyFont="1" applyBorder="1" applyAlignment="1">
      <alignment horizontal="center" vertical="top" wrapText="1"/>
    </xf>
    <xf numFmtId="0" fontId="26" fillId="0" borderId="77" xfId="0" applyFont="1" applyBorder="1" applyAlignment="1">
      <alignment horizontal="center" vertical="top" wrapText="1"/>
    </xf>
    <xf numFmtId="172" fontId="0" fillId="0" borderId="9" xfId="0" applyNumberFormat="1" applyBorder="1" applyAlignment="1">
      <alignment horizontal="center" vertical="top"/>
    </xf>
    <xf numFmtId="172" fontId="0" fillId="0" borderId="34" xfId="0" applyNumberFormat="1" applyBorder="1" applyAlignment="1">
      <alignment horizontal="center" vertical="top"/>
    </xf>
    <xf numFmtId="0" fontId="26" fillId="0" borderId="5" xfId="0" applyFont="1" applyBorder="1" applyAlignment="1">
      <alignment vertical="top" wrapText="1"/>
    </xf>
    <xf numFmtId="0" fontId="26" fillId="0" borderId="6" xfId="0" applyFont="1" applyBorder="1" applyAlignment="1">
      <alignment vertical="top" wrapText="1"/>
    </xf>
    <xf numFmtId="0" fontId="26" fillId="0" borderId="24" xfId="0" applyFont="1" applyBorder="1" applyAlignment="1">
      <alignment vertical="top" wrapText="1"/>
    </xf>
    <xf numFmtId="0" fontId="26" fillId="0" borderId="39" xfId="0" applyFont="1" applyBorder="1" applyAlignment="1">
      <alignment vertical="top" wrapText="1"/>
    </xf>
    <xf numFmtId="0" fontId="26" fillId="4" borderId="4" xfId="0" applyFont="1" applyFill="1" applyBorder="1" applyAlignment="1">
      <alignment horizontal="center" vertical="top" wrapText="1"/>
    </xf>
    <xf numFmtId="0" fontId="26" fillId="4" borderId="51" xfId="0" applyFont="1" applyFill="1" applyBorder="1" applyAlignment="1">
      <alignment horizontal="center" vertical="top" wrapText="1"/>
    </xf>
    <xf numFmtId="0" fontId="26" fillId="4" borderId="92" xfId="0" applyFont="1" applyFill="1" applyBorder="1" applyAlignment="1">
      <alignment horizontal="center" vertical="top" wrapText="1"/>
    </xf>
    <xf numFmtId="0" fontId="26" fillId="4" borderId="68" xfId="0" applyFont="1" applyFill="1" applyBorder="1" applyAlignment="1">
      <alignment horizontal="center" vertical="top" wrapText="1"/>
    </xf>
    <xf numFmtId="10" fontId="15" fillId="4" borderId="49" xfId="0" applyNumberFormat="1" applyFont="1" applyFill="1" applyBorder="1"/>
    <xf numFmtId="10" fontId="15" fillId="4" borderId="45" xfId="0" applyNumberFormat="1" applyFont="1" applyFill="1" applyBorder="1"/>
    <xf numFmtId="0" fontId="26" fillId="4" borderId="1" xfId="0" applyFont="1" applyFill="1" applyBorder="1" applyAlignment="1">
      <alignment horizontal="center" vertical="center" wrapText="1"/>
    </xf>
    <xf numFmtId="0" fontId="26" fillId="4" borderId="2" xfId="0" applyFont="1" applyFill="1" applyBorder="1" applyAlignment="1">
      <alignment horizontal="center" vertical="center" wrapText="1"/>
    </xf>
    <xf numFmtId="0" fontId="26" fillId="4" borderId="3" xfId="0" applyFont="1" applyFill="1" applyBorder="1" applyAlignment="1">
      <alignment horizontal="center" vertical="center" wrapText="1"/>
    </xf>
    <xf numFmtId="0" fontId="26" fillId="4" borderId="24" xfId="0" applyFont="1" applyFill="1" applyBorder="1" applyAlignment="1">
      <alignment horizontal="center" vertical="center" wrapText="1"/>
    </xf>
    <xf numFmtId="0" fontId="26" fillId="4" borderId="39" xfId="0" applyFont="1" applyFill="1" applyBorder="1" applyAlignment="1">
      <alignment horizontal="center" vertical="center" wrapText="1"/>
    </xf>
    <xf numFmtId="0" fontId="28" fillId="0" borderId="4" xfId="0" applyFont="1" applyBorder="1" applyAlignment="1">
      <alignment horizontal="center" vertical="top" wrapText="1"/>
    </xf>
    <xf numFmtId="0" fontId="28" fillId="0" borderId="53" xfId="0" applyFont="1" applyBorder="1" applyAlignment="1">
      <alignment horizontal="center" vertical="top" wrapText="1"/>
    </xf>
    <xf numFmtId="166" fontId="28" fillId="0" borderId="5" xfId="0" applyNumberFormat="1" applyFont="1" applyBorder="1" applyAlignment="1">
      <alignment horizontal="center" vertical="center" wrapText="1"/>
    </xf>
    <xf numFmtId="166" fontId="28" fillId="0" borderId="14" xfId="0" applyNumberFormat="1" applyFont="1" applyBorder="1" applyAlignment="1">
      <alignment horizontal="center" vertical="center" wrapText="1"/>
    </xf>
    <xf numFmtId="10" fontId="0" fillId="0" borderId="9" xfId="0" applyNumberFormat="1" applyBorder="1" applyAlignment="1">
      <alignment horizontal="center"/>
    </xf>
    <xf numFmtId="10" fontId="0" fillId="0" borderId="35" xfId="0" applyNumberFormat="1" applyBorder="1" applyAlignment="1">
      <alignment horizontal="center"/>
    </xf>
    <xf numFmtId="172" fontId="0" fillId="0" borderId="35" xfId="0" applyNumberFormat="1" applyBorder="1" applyAlignment="1">
      <alignment horizontal="center" vertical="top"/>
    </xf>
    <xf numFmtId="172" fontId="0" fillId="0" borderId="7" xfId="0" applyNumberFormat="1" applyBorder="1" applyAlignment="1">
      <alignment horizontal="center" vertical="top"/>
    </xf>
    <xf numFmtId="172" fontId="0" fillId="0" borderId="66" xfId="0" applyNumberFormat="1" applyBorder="1" applyAlignment="1">
      <alignment horizontal="center" vertical="top"/>
    </xf>
    <xf numFmtId="0" fontId="0" fillId="4" borderId="14" xfId="0" applyFill="1" applyBorder="1" applyAlignment="1">
      <alignment horizontal="center"/>
    </xf>
    <xf numFmtId="0" fontId="0" fillId="4" borderId="0" xfId="0" applyFill="1" applyAlignment="1">
      <alignment horizontal="center"/>
    </xf>
    <xf numFmtId="0" fontId="0" fillId="4" borderId="39" xfId="0" applyFill="1" applyBorder="1" applyAlignment="1">
      <alignment horizontal="center"/>
    </xf>
    <xf numFmtId="0" fontId="0" fillId="4" borderId="2" xfId="0" applyFill="1" applyBorder="1" applyAlignment="1">
      <alignment horizontal="center"/>
    </xf>
    <xf numFmtId="0" fontId="26" fillId="0" borderId="93" xfId="0" applyFont="1" applyBorder="1" applyAlignment="1">
      <alignment vertical="top" wrapText="1"/>
    </xf>
    <xf numFmtId="0" fontId="26" fillId="0" borderId="94" xfId="0" applyFont="1" applyBorder="1" applyAlignment="1">
      <alignment vertical="top" wrapText="1"/>
    </xf>
    <xf numFmtId="172" fontId="0" fillId="0" borderId="6" xfId="0" applyNumberFormat="1" applyBorder="1" applyAlignment="1">
      <alignment horizontal="center" vertical="top"/>
    </xf>
    <xf numFmtId="172" fontId="0" fillId="0" borderId="0" xfId="0" applyNumberFormat="1" applyAlignment="1">
      <alignment horizontal="center" vertical="top"/>
    </xf>
    <xf numFmtId="168" fontId="0" fillId="4" borderId="14" xfId="8" applyFont="1" applyFill="1" applyBorder="1" applyAlignment="1">
      <alignment horizontal="center"/>
    </xf>
    <xf numFmtId="168" fontId="0" fillId="0" borderId="6" xfId="8" applyFont="1" applyBorder="1" applyAlignment="1">
      <alignment horizontal="center" vertical="top"/>
    </xf>
    <xf numFmtId="168" fontId="0" fillId="0" borderId="0" xfId="8" applyFont="1" applyAlignment="1">
      <alignment horizontal="center" vertical="top"/>
    </xf>
    <xf numFmtId="0" fontId="26" fillId="4" borderId="6"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0" xfId="0" applyFont="1" applyFill="1" applyAlignment="1">
      <alignment horizontal="center" vertical="center" wrapText="1"/>
    </xf>
    <xf numFmtId="0" fontId="26" fillId="4" borderId="66" xfId="0" applyFont="1" applyFill="1" applyBorder="1" applyAlignment="1">
      <alignment horizontal="center" vertical="center" wrapText="1"/>
    </xf>
    <xf numFmtId="0" fontId="26" fillId="4" borderId="52" xfId="0" applyFont="1" applyFill="1" applyBorder="1" applyAlignment="1">
      <alignment horizontal="center" vertical="center" wrapText="1"/>
    </xf>
    <xf numFmtId="0" fontId="28" fillId="4" borderId="24" xfId="0" applyFont="1" applyFill="1" applyBorder="1" applyAlignment="1">
      <alignment horizontal="center" vertical="center" wrapText="1"/>
    </xf>
    <xf numFmtId="0" fontId="28" fillId="4" borderId="52" xfId="0" applyFont="1" applyFill="1" applyBorder="1" applyAlignment="1">
      <alignment horizontal="center" vertical="center" wrapText="1"/>
    </xf>
    <xf numFmtId="0" fontId="28" fillId="0" borderId="1" xfId="0" applyFont="1" applyBorder="1" applyAlignment="1">
      <alignment vertical="center" wrapText="1"/>
    </xf>
    <xf numFmtId="0" fontId="28" fillId="0" borderId="2" xfId="0" applyFont="1" applyBorder="1" applyAlignment="1">
      <alignment vertical="center" wrapText="1"/>
    </xf>
    <xf numFmtId="0" fontId="28" fillId="0" borderId="3" xfId="0" applyFont="1" applyBorder="1" applyAlignment="1">
      <alignment vertical="center" wrapText="1"/>
    </xf>
    <xf numFmtId="0" fontId="28" fillId="0" borderId="1" xfId="0" applyFont="1" applyBorder="1" applyAlignment="1">
      <alignment horizontal="center" vertical="center" wrapText="1"/>
    </xf>
    <xf numFmtId="0" fontId="28" fillId="0" borderId="2" xfId="0" applyFont="1" applyBorder="1" applyAlignment="1">
      <alignment horizontal="center" vertical="center" wrapText="1"/>
    </xf>
    <xf numFmtId="0" fontId="28" fillId="0" borderId="3" xfId="0" applyFont="1" applyBorder="1" applyAlignment="1">
      <alignment horizontal="center" vertical="center" wrapText="1"/>
    </xf>
    <xf numFmtId="172" fontId="15" fillId="0" borderId="4" xfId="0" applyNumberFormat="1" applyFont="1" applyBorder="1" applyAlignment="1">
      <alignment horizontal="center" vertical="top"/>
    </xf>
    <xf numFmtId="172" fontId="15" fillId="0" borderId="53" xfId="0" applyNumberFormat="1" applyFont="1" applyBorder="1" applyAlignment="1">
      <alignment horizontal="center" vertical="top"/>
    </xf>
    <xf numFmtId="0" fontId="34" fillId="0" borderId="4" xfId="0" applyFont="1" applyBorder="1" applyAlignment="1">
      <alignment horizontal="justify" vertical="center" wrapText="1"/>
    </xf>
    <xf numFmtId="0" fontId="34" fillId="0" borderId="53" xfId="0" applyFont="1" applyBorder="1" applyAlignment="1">
      <alignment horizontal="justify" vertical="center" wrapText="1"/>
    </xf>
    <xf numFmtId="0" fontId="34" fillId="0" borderId="51" xfId="0" applyFont="1" applyBorder="1" applyAlignment="1">
      <alignment horizontal="justify" vertical="center" wrapText="1"/>
    </xf>
    <xf numFmtId="0" fontId="34" fillId="0" borderId="1" xfId="0" applyFont="1" applyBorder="1" applyAlignment="1">
      <alignment horizontal="justify" vertical="center" wrapText="1"/>
    </xf>
    <xf numFmtId="0" fontId="34" fillId="0" borderId="3" xfId="0" applyFont="1" applyBorder="1" applyAlignment="1">
      <alignment horizontal="justify" vertical="center" wrapText="1"/>
    </xf>
    <xf numFmtId="0" fontId="37" fillId="0" borderId="4" xfId="0" applyFont="1" applyBorder="1" applyAlignment="1">
      <alignment vertical="center" wrapText="1"/>
    </xf>
    <xf numFmtId="0" fontId="37" fillId="0" borderId="53" xfId="0" applyFont="1" applyBorder="1" applyAlignment="1">
      <alignment vertical="center" wrapText="1"/>
    </xf>
    <xf numFmtId="0" fontId="37" fillId="0" borderId="51" xfId="0" applyFont="1" applyBorder="1" applyAlignment="1">
      <alignment vertical="center" wrapText="1"/>
    </xf>
    <xf numFmtId="165" fontId="37" fillId="0" borderId="4" xfId="0" applyNumberFormat="1" applyFont="1" applyBorder="1" applyAlignment="1">
      <alignment vertical="center" wrapText="1"/>
    </xf>
    <xf numFmtId="165" fontId="37" fillId="0" borderId="53" xfId="0" applyNumberFormat="1" applyFont="1" applyBorder="1" applyAlignment="1">
      <alignment vertical="center" wrapText="1"/>
    </xf>
    <xf numFmtId="165" fontId="37" fillId="0" borderId="51" xfId="0" applyNumberFormat="1" applyFont="1" applyBorder="1" applyAlignment="1">
      <alignment vertical="center" wrapText="1"/>
    </xf>
    <xf numFmtId="0" fontId="35" fillId="0" borderId="0" xfId="0" applyFont="1" applyAlignment="1">
      <alignment horizontal="left" vertical="center"/>
    </xf>
    <xf numFmtId="0" fontId="36" fillId="0" borderId="1" xfId="0" applyFont="1" applyBorder="1" applyAlignment="1">
      <alignment vertical="center" wrapText="1"/>
    </xf>
    <xf numFmtId="0" fontId="36" fillId="0" borderId="2" xfId="0" applyFont="1" applyBorder="1" applyAlignment="1">
      <alignment vertical="center" wrapText="1"/>
    </xf>
    <xf numFmtId="0" fontId="36" fillId="0" borderId="3" xfId="0" applyFont="1" applyBorder="1" applyAlignment="1">
      <alignment vertical="center" wrapText="1"/>
    </xf>
    <xf numFmtId="0" fontId="36" fillId="0" borderId="1" xfId="0" applyFont="1" applyBorder="1" applyAlignment="1">
      <alignment horizontal="center" vertical="center" wrapText="1"/>
    </xf>
    <xf numFmtId="0" fontId="36" fillId="0" borderId="2" xfId="0" applyFont="1" applyBorder="1" applyAlignment="1">
      <alignment horizontal="center" vertical="center" wrapText="1"/>
    </xf>
    <xf numFmtId="0" fontId="36" fillId="0" borderId="3" xfId="0" applyFont="1" applyBorder="1" applyAlignment="1">
      <alignment horizontal="center" vertical="center" wrapText="1"/>
    </xf>
    <xf numFmtId="0" fontId="34" fillId="0" borderId="5" xfId="0" applyFont="1" applyBorder="1" applyAlignment="1">
      <alignment horizontal="justify" vertical="center" wrapText="1"/>
    </xf>
    <xf numFmtId="0" fontId="34" fillId="0" borderId="7" xfId="0" applyFont="1" applyBorder="1" applyAlignment="1">
      <alignment horizontal="justify" vertical="center" wrapText="1"/>
    </xf>
    <xf numFmtId="0" fontId="34" fillId="0" borderId="24" xfId="0" applyFont="1" applyBorder="1" applyAlignment="1">
      <alignment horizontal="justify" vertical="center" wrapText="1"/>
    </xf>
    <xf numFmtId="0" fontId="34" fillId="0" borderId="52" xfId="0" applyFont="1" applyBorder="1" applyAlignment="1">
      <alignment horizontal="justify" vertical="center" wrapText="1"/>
    </xf>
    <xf numFmtId="0" fontId="35" fillId="0" borderId="1" xfId="0" applyFont="1" applyBorder="1" applyAlignment="1">
      <alignment horizontal="justify" vertical="center" wrapText="1"/>
    </xf>
    <xf numFmtId="0" fontId="35" fillId="0" borderId="3" xfId="0" applyFont="1" applyBorder="1" applyAlignment="1">
      <alignment horizontal="justify" vertical="center" wrapText="1"/>
    </xf>
  </cellXfs>
  <cellStyles count="9">
    <cellStyle name="Comma" xfId="8" builtinId="3"/>
    <cellStyle name="Comma 3" xfId="6" xr:uid="{00000000-0005-0000-0000-000001000000}"/>
    <cellStyle name="Currency" xfId="1" builtinId="4"/>
    <cellStyle name="Currency 3" xfId="3" xr:uid="{00000000-0005-0000-0000-000003000000}"/>
    <cellStyle name="Currency 4" xfId="4" xr:uid="{00000000-0005-0000-0000-000004000000}"/>
    <cellStyle name="Normal" xfId="0" builtinId="0"/>
    <cellStyle name="Normal 2" xfId="2" xr:uid="{00000000-0005-0000-0000-000006000000}"/>
    <cellStyle name="Normal 3" xfId="5" xr:uid="{00000000-0005-0000-0000-000007000000}"/>
    <cellStyle name="Per cent" xfId="7"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1600200</xdr:colOff>
      <xdr:row>6</xdr:row>
      <xdr:rowOff>142875</xdr:rowOff>
    </xdr:to>
    <xdr:pic>
      <xdr:nvPicPr>
        <xdr:cNvPr id="3" name="Picture 2">
          <a:extLst>
            <a:ext uri="{FF2B5EF4-FFF2-40B4-BE49-F238E27FC236}">
              <a16:creationId xmlns:a16="http://schemas.microsoft.com/office/drawing/2014/main" id="{02140F83-1B5F-41F9-8E2B-2862A0A8A49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4933950" cy="1285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Users/Public/Documents/Budget/14-15%20MTREF/1ST%20DRAFT%20BUDGET%202014-15%20MTREF.xlsx%20MELD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ivot Prior Year Act Classifica"/>
      <sheetName val="Pivot Prior Year Act"/>
      <sheetName val="PY ACT G560"/>
      <sheetName val="CY PIVOT"/>
      <sheetName val="CY ACTUALS GS560"/>
      <sheetName val="Sheet4"/>
      <sheetName val="Detail Rev item"/>
      <sheetName val="Total budget Summary"/>
      <sheetName val="ALL DEP LINE ITEMS"/>
      <sheetName val="ALL DEPARTMENTS"/>
      <sheetName val="Sheet2"/>
      <sheetName val="CAPITAL BUDGET"/>
      <sheetName val="Salaries"/>
      <sheetName val="Sheet1"/>
    </sheetNames>
    <sheetDataSet>
      <sheetData sheetId="0"/>
      <sheetData sheetId="1"/>
      <sheetData sheetId="2"/>
      <sheetData sheetId="3"/>
      <sheetData sheetId="4"/>
      <sheetData sheetId="5"/>
      <sheetData sheetId="6"/>
      <sheetData sheetId="7"/>
      <sheetData sheetId="8"/>
      <sheetData sheetId="9">
        <row r="149">
          <cell r="F149">
            <v>-0.13112164296998421</v>
          </cell>
        </row>
      </sheetData>
      <sheetData sheetId="10"/>
      <sheetData sheetId="11"/>
      <sheetData sheetId="12"/>
      <sheetData sheetId="1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423"/>
  <sheetViews>
    <sheetView topLeftCell="B2" workbookViewId="0">
      <selection activeCell="H273" sqref="H273"/>
    </sheetView>
  </sheetViews>
  <sheetFormatPr baseColWidth="10" defaultColWidth="9.1640625" defaultRowHeight="14"/>
  <cols>
    <col min="1" max="1" width="4.5" style="148" hidden="1" customWidth="1"/>
    <col min="2" max="2" width="30" style="62" customWidth="1"/>
    <col min="3" max="3" width="35" style="62" customWidth="1"/>
    <col min="4" max="4" width="15.6640625" style="62" bestFit="1" customWidth="1"/>
    <col min="5" max="6" width="13.1640625" style="62" hidden="1" customWidth="1"/>
    <col min="7" max="7" width="15.33203125" style="62" customWidth="1"/>
    <col min="8" max="8" width="13.83203125" style="62" customWidth="1"/>
    <col min="9" max="9" width="15.5" style="62" customWidth="1"/>
    <col min="10" max="11" width="13.5" style="62" customWidth="1"/>
    <col min="12" max="16384" width="9.1640625" style="13"/>
  </cols>
  <sheetData>
    <row r="1" spans="1:11" s="5" customFormat="1" ht="26">
      <c r="A1" s="1" t="s">
        <v>0</v>
      </c>
      <c r="B1" s="2"/>
      <c r="C1" s="2"/>
      <c r="D1" s="2"/>
      <c r="E1" s="3"/>
      <c r="F1" s="3"/>
      <c r="G1" s="3"/>
      <c r="H1" s="4"/>
      <c r="I1" s="4"/>
      <c r="J1" s="4"/>
      <c r="K1" s="4"/>
    </row>
    <row r="2" spans="1:11" s="5" customFormat="1" ht="20" thickBot="1">
      <c r="A2" s="6" t="s">
        <v>1</v>
      </c>
      <c r="B2" s="7"/>
      <c r="C2" s="7"/>
      <c r="D2" s="7"/>
      <c r="E2" s="8"/>
      <c r="F2" s="8"/>
      <c r="G2" s="8"/>
      <c r="H2" s="4"/>
      <c r="I2" s="4"/>
      <c r="J2" s="4"/>
      <c r="K2" s="4"/>
    </row>
    <row r="3" spans="1:11" ht="31" thickBot="1">
      <c r="A3" s="3"/>
      <c r="B3" s="9" t="s">
        <v>2</v>
      </c>
      <c r="C3" s="10"/>
      <c r="D3" s="11"/>
      <c r="E3" s="12" t="s">
        <v>3</v>
      </c>
      <c r="F3" s="12" t="s">
        <v>4</v>
      </c>
      <c r="G3" s="12" t="s">
        <v>5</v>
      </c>
      <c r="H3" s="12" t="s">
        <v>6</v>
      </c>
      <c r="I3" s="12" t="s">
        <v>7</v>
      </c>
      <c r="J3" s="12" t="s">
        <v>8</v>
      </c>
      <c r="K3" s="64" t="s">
        <v>9</v>
      </c>
    </row>
    <row r="4" spans="1:11" s="283" customFormat="1" ht="17" hidden="1" thickBot="1">
      <c r="A4" s="282"/>
      <c r="B4" s="943" t="s">
        <v>10</v>
      </c>
      <c r="C4" s="944"/>
      <c r="D4" s="945"/>
      <c r="E4" s="946" t="s">
        <v>10</v>
      </c>
      <c r="F4" s="947"/>
      <c r="G4" s="947"/>
      <c r="H4" s="947"/>
      <c r="I4" s="947"/>
      <c r="J4" s="947"/>
    </row>
    <row r="5" spans="1:11" ht="16" hidden="1" thickBot="1">
      <c r="A5" s="3"/>
      <c r="B5" s="14" t="s">
        <v>11</v>
      </c>
      <c r="C5" s="15"/>
      <c r="D5" s="16"/>
      <c r="E5" s="17"/>
      <c r="F5" s="18"/>
      <c r="G5" s="18"/>
      <c r="H5" s="18"/>
      <c r="I5" s="19"/>
      <c r="J5" s="19"/>
      <c r="K5" s="19"/>
    </row>
    <row r="6" spans="1:11" ht="15" hidden="1" thickBot="1">
      <c r="A6" s="3"/>
      <c r="B6" s="20" t="s">
        <v>12</v>
      </c>
      <c r="C6" s="21" t="s">
        <v>13</v>
      </c>
      <c r="D6" s="22"/>
      <c r="E6" s="23" t="s">
        <v>14</v>
      </c>
      <c r="F6" s="24" t="s">
        <v>14</v>
      </c>
      <c r="G6" s="24" t="s">
        <v>14</v>
      </c>
      <c r="H6" s="25" t="s">
        <v>14</v>
      </c>
      <c r="I6" s="25" t="s">
        <v>14</v>
      </c>
      <c r="J6" s="25" t="s">
        <v>14</v>
      </c>
      <c r="K6" s="25" t="s">
        <v>14</v>
      </c>
    </row>
    <row r="7" spans="1:11" hidden="1">
      <c r="A7" s="3"/>
      <c r="B7" s="26" t="s">
        <v>15</v>
      </c>
      <c r="C7" s="27" t="s">
        <v>13</v>
      </c>
      <c r="D7" s="28"/>
      <c r="E7" s="29">
        <v>4.7699999999999996</v>
      </c>
      <c r="F7" s="253">
        <v>5.2469999999999999</v>
      </c>
      <c r="G7" s="213">
        <v>5.7717000000000001</v>
      </c>
      <c r="H7" s="213">
        <f>G7*18.12%+G7</f>
        <v>6.8175320399999997</v>
      </c>
      <c r="I7" s="213">
        <f>H7*18.12%+H7</f>
        <v>8.0528688456479998</v>
      </c>
      <c r="J7" s="213">
        <f>I7*18.12%+I7</f>
        <v>9.5120486804794169</v>
      </c>
      <c r="K7" s="213">
        <f>J7*18.12%+J7</f>
        <v>11.235631901382288</v>
      </c>
    </row>
    <row r="8" spans="1:11" hidden="1">
      <c r="A8" s="3"/>
      <c r="B8" s="32" t="s">
        <v>16</v>
      </c>
      <c r="C8" s="33" t="s">
        <v>17</v>
      </c>
      <c r="D8" s="34"/>
      <c r="E8" s="35">
        <v>5.3</v>
      </c>
      <c r="F8" s="254">
        <v>5.83</v>
      </c>
      <c r="G8" s="224">
        <v>6.4130000000000003</v>
      </c>
      <c r="H8" s="224">
        <f>G8*16.33%+G8</f>
        <v>7.4602428999999999</v>
      </c>
      <c r="I8" s="224">
        <f>H8*16.33%+H8</f>
        <v>8.6785005655699994</v>
      </c>
      <c r="J8" s="224">
        <f>I8*16.33%+I8</f>
        <v>10.095699707927579</v>
      </c>
      <c r="K8" s="224">
        <f>J8*16.33%+J8</f>
        <v>11.744327470232154</v>
      </c>
    </row>
    <row r="9" spans="1:11" hidden="1">
      <c r="A9" s="3"/>
      <c r="B9" s="32" t="s">
        <v>18</v>
      </c>
      <c r="C9" s="33" t="s">
        <v>19</v>
      </c>
      <c r="D9" s="34"/>
      <c r="E9" s="35">
        <v>6.36</v>
      </c>
      <c r="F9" s="254">
        <v>6.9960000000000013</v>
      </c>
      <c r="G9" s="224">
        <v>7.6956000000000024</v>
      </c>
      <c r="H9" s="224">
        <f>G9*20%+G9</f>
        <v>9.2347200000000029</v>
      </c>
      <c r="I9" s="224">
        <f>H9*20%+H9</f>
        <v>11.081664000000004</v>
      </c>
      <c r="J9" s="224">
        <f>I9*20%+I9</f>
        <v>13.297996800000004</v>
      </c>
      <c r="K9" s="224">
        <f>J9*20%+J9</f>
        <v>15.957596160000005</v>
      </c>
    </row>
    <row r="10" spans="1:11" ht="15" hidden="1" thickBot="1">
      <c r="A10" s="3"/>
      <c r="B10" s="32" t="s">
        <v>20</v>
      </c>
      <c r="C10" s="37" t="s">
        <v>21</v>
      </c>
      <c r="D10" s="38"/>
      <c r="E10" s="39">
        <v>6.89</v>
      </c>
      <c r="F10" s="255">
        <v>7</v>
      </c>
      <c r="G10" s="257">
        <v>7.7000000000000011</v>
      </c>
      <c r="H10" s="257">
        <f>G10*16.67%+G10</f>
        <v>8.9835900000000013</v>
      </c>
      <c r="I10" s="257">
        <f>H10*16.67%+H10</f>
        <v>10.481154453000002</v>
      </c>
      <c r="J10" s="257">
        <f>I10*16.67%+I10</f>
        <v>12.228362900315103</v>
      </c>
      <c r="K10" s="257">
        <f>J10*16.67%+J10</f>
        <v>14.266830995797632</v>
      </c>
    </row>
    <row r="11" spans="1:11" hidden="1">
      <c r="A11" s="3"/>
      <c r="B11" s="26" t="s">
        <v>22</v>
      </c>
      <c r="C11" s="325" t="s">
        <v>13</v>
      </c>
      <c r="D11" s="41"/>
      <c r="E11" s="29">
        <v>7</v>
      </c>
      <c r="F11" s="253">
        <v>7.7000000000000011</v>
      </c>
      <c r="G11" s="213">
        <v>8.4700000000000024</v>
      </c>
      <c r="H11" s="213">
        <f>G11*32.29%+G11</f>
        <v>11.204963000000003</v>
      </c>
      <c r="I11" s="213">
        <f>H11*26.67%+H11</f>
        <v>14.193326632100003</v>
      </c>
      <c r="J11" s="213">
        <f>I11*26.67%+I11</f>
        <v>17.978686844881075</v>
      </c>
      <c r="K11" s="213">
        <f>J11*26.67%+J11</f>
        <v>22.773602626410856</v>
      </c>
    </row>
    <row r="12" spans="1:11" hidden="1">
      <c r="A12" s="3"/>
      <c r="B12" s="32"/>
      <c r="C12" s="326" t="s">
        <v>23</v>
      </c>
      <c r="D12" s="34"/>
      <c r="E12" s="35">
        <v>7</v>
      </c>
      <c r="F12" s="254">
        <v>7.7000000000000011</v>
      </c>
      <c r="G12" s="224">
        <v>8.4700000000000024</v>
      </c>
      <c r="H12" s="224">
        <f>G12*35.2%+G12</f>
        <v>11.451440000000003</v>
      </c>
      <c r="I12" s="224">
        <f>H12*20.67%+H12</f>
        <v>13.818452648000005</v>
      </c>
      <c r="J12" s="224">
        <f>I12*20.67%+I12</f>
        <v>16.674726810341607</v>
      </c>
      <c r="K12" s="224">
        <f>J12*20.67%+J12</f>
        <v>20.121392842039217</v>
      </c>
    </row>
    <row r="13" spans="1:11" ht="15" hidden="1" thickBot="1">
      <c r="A13" s="3"/>
      <c r="B13" s="32"/>
      <c r="C13" s="327" t="s">
        <v>24</v>
      </c>
      <c r="D13" s="45"/>
      <c r="E13" s="46">
        <v>7</v>
      </c>
      <c r="F13" s="256">
        <v>7.7000000000000011</v>
      </c>
      <c r="G13" s="216">
        <v>8.4700000000000024</v>
      </c>
      <c r="H13" s="216">
        <f>G13*39.06%+G13</f>
        <v>11.778382000000004</v>
      </c>
      <c r="I13" s="216">
        <f>H13*15%+H13</f>
        <v>13.545139300000004</v>
      </c>
      <c r="J13" s="216">
        <f>I13*15%+I13</f>
        <v>15.576910195000005</v>
      </c>
      <c r="K13" s="216">
        <f>J13*15%+J13</f>
        <v>17.913446724250008</v>
      </c>
    </row>
    <row r="14" spans="1:11" ht="15" hidden="1" thickBot="1">
      <c r="A14" s="3"/>
      <c r="B14" s="20" t="s">
        <v>25</v>
      </c>
      <c r="C14" s="21" t="s">
        <v>26</v>
      </c>
      <c r="D14" s="48"/>
      <c r="E14" s="49">
        <v>5.3</v>
      </c>
      <c r="F14" s="219">
        <v>5.83</v>
      </c>
      <c r="G14" s="252">
        <v>6.4130000000000003</v>
      </c>
      <c r="H14" s="252">
        <f>G14*10%+G14</f>
        <v>7.0543000000000005</v>
      </c>
      <c r="I14" s="51">
        <v>7.2056468000000011</v>
      </c>
      <c r="J14" s="51">
        <v>7.9262114800000019</v>
      </c>
      <c r="K14" s="51">
        <v>7.9262114800000019</v>
      </c>
    </row>
    <row r="15" spans="1:11" hidden="1">
      <c r="A15" s="3"/>
      <c r="B15" s="26" t="s">
        <v>27</v>
      </c>
      <c r="C15" s="27" t="s">
        <v>13</v>
      </c>
      <c r="D15" s="28"/>
      <c r="E15" s="52">
        <v>4.7699999999999996</v>
      </c>
      <c r="F15" s="242">
        <v>5.2469999999999999</v>
      </c>
      <c r="G15" s="250">
        <v>5.7717000000000001</v>
      </c>
      <c r="H15" s="213">
        <f>G15*18.12%+G15</f>
        <v>6.8175320399999997</v>
      </c>
      <c r="I15" s="213">
        <f>H15*18.12%+H15</f>
        <v>8.0528688456479998</v>
      </c>
      <c r="J15" s="213">
        <f>I15*18.12%+I15</f>
        <v>9.5120486804794169</v>
      </c>
      <c r="K15" s="213">
        <f>J15*18.12%+J15</f>
        <v>11.235631901382288</v>
      </c>
    </row>
    <row r="16" spans="1:11" hidden="1">
      <c r="A16" s="3"/>
      <c r="B16" s="42"/>
      <c r="C16" s="33" t="s">
        <v>17</v>
      </c>
      <c r="D16" s="34"/>
      <c r="E16" s="35">
        <v>5.3</v>
      </c>
      <c r="F16" s="254">
        <v>5.83</v>
      </c>
      <c r="G16" s="224">
        <v>6.4130000000000003</v>
      </c>
      <c r="H16" s="224">
        <f>G16*16.33%+G16</f>
        <v>7.4602428999999999</v>
      </c>
      <c r="I16" s="224">
        <f>H16*16.33%+H16</f>
        <v>8.6785005655699994</v>
      </c>
      <c r="J16" s="224">
        <f>I16*16.33%+I16</f>
        <v>10.095699707927579</v>
      </c>
      <c r="K16" s="224">
        <f>J16*16.33%+J16</f>
        <v>11.744327470232154</v>
      </c>
    </row>
    <row r="17" spans="1:11" hidden="1">
      <c r="A17" s="3"/>
      <c r="B17" s="42"/>
      <c r="C17" s="33" t="s">
        <v>19</v>
      </c>
      <c r="D17" s="34"/>
      <c r="E17" s="35">
        <v>6.36</v>
      </c>
      <c r="F17" s="254">
        <v>6.9960000000000013</v>
      </c>
      <c r="G17" s="224">
        <v>7.6956000000000024</v>
      </c>
      <c r="H17" s="224">
        <f>G17*20%+G17</f>
        <v>9.2347200000000029</v>
      </c>
      <c r="I17" s="224">
        <f>H17*20%+H17</f>
        <v>11.081664000000004</v>
      </c>
      <c r="J17" s="224">
        <f>I17*20%+I17</f>
        <v>13.297996800000004</v>
      </c>
      <c r="K17" s="224">
        <f>J17*20%+J17</f>
        <v>15.957596160000005</v>
      </c>
    </row>
    <row r="18" spans="1:11" ht="15" hidden="1" thickBot="1">
      <c r="A18" s="3"/>
      <c r="B18" s="42"/>
      <c r="C18" s="327" t="s">
        <v>21</v>
      </c>
      <c r="D18" s="55"/>
      <c r="E18" s="46">
        <v>6.89</v>
      </c>
      <c r="F18" s="244">
        <v>7</v>
      </c>
      <c r="G18" s="216">
        <v>7.7000000000000011</v>
      </c>
      <c r="H18" s="257">
        <f>G18*16.67%+G18</f>
        <v>8.9835900000000013</v>
      </c>
      <c r="I18" s="257">
        <f>H18*16.67%+H18</f>
        <v>10.481154453000002</v>
      </c>
      <c r="J18" s="257">
        <f>I18*16.67%+I18</f>
        <v>12.228362900315103</v>
      </c>
      <c r="K18" s="257">
        <f>J18*16.67%+J18</f>
        <v>14.266830995797632</v>
      </c>
    </row>
    <row r="19" spans="1:11" hidden="1">
      <c r="A19" s="3"/>
      <c r="B19" s="26" t="s">
        <v>28</v>
      </c>
      <c r="C19" s="27" t="s">
        <v>13</v>
      </c>
      <c r="D19" s="28"/>
      <c r="E19" s="52">
        <v>4.7699999999999996</v>
      </c>
      <c r="F19" s="243">
        <v>5.2469999999999999</v>
      </c>
      <c r="G19" s="250">
        <v>5.7717000000000001</v>
      </c>
      <c r="H19" s="213">
        <f>G19*18.12%+G19</f>
        <v>6.8175320399999997</v>
      </c>
      <c r="I19" s="213">
        <f>H19*18.12%+H19</f>
        <v>8.0528688456479998</v>
      </c>
      <c r="J19" s="213">
        <f>I19*18.12%+I19</f>
        <v>9.5120486804794169</v>
      </c>
      <c r="K19" s="213">
        <f>J19*18.12%+J19</f>
        <v>11.235631901382288</v>
      </c>
    </row>
    <row r="20" spans="1:11" hidden="1">
      <c r="A20" s="3"/>
      <c r="B20" s="42"/>
      <c r="C20" s="33" t="s">
        <v>17</v>
      </c>
      <c r="D20" s="34"/>
      <c r="E20" s="35">
        <v>5.3</v>
      </c>
      <c r="F20" s="254">
        <v>5.83</v>
      </c>
      <c r="G20" s="250">
        <v>6.4130000000000003</v>
      </c>
      <c r="H20" s="224">
        <f>G20*16.33%+G20</f>
        <v>7.4602428999999999</v>
      </c>
      <c r="I20" s="224">
        <f>H20*16.33%+H20</f>
        <v>8.6785005655699994</v>
      </c>
      <c r="J20" s="224">
        <f>I20*16.33%+I20</f>
        <v>10.095699707927579</v>
      </c>
      <c r="K20" s="224">
        <f>J20*16.33%+J20</f>
        <v>11.744327470232154</v>
      </c>
    </row>
    <row r="21" spans="1:11" hidden="1">
      <c r="A21" s="3"/>
      <c r="B21" s="42"/>
      <c r="C21" s="33" t="s">
        <v>19</v>
      </c>
      <c r="D21" s="34"/>
      <c r="E21" s="35">
        <v>6.36</v>
      </c>
      <c r="F21" s="254">
        <v>6.9960000000000013</v>
      </c>
      <c r="G21" s="250">
        <v>7.6956000000000024</v>
      </c>
      <c r="H21" s="224">
        <f>G21*20%+G21</f>
        <v>9.2347200000000029</v>
      </c>
      <c r="I21" s="224">
        <f>H21*20%+H21</f>
        <v>11.081664000000004</v>
      </c>
      <c r="J21" s="224">
        <f>I21*20%+I21</f>
        <v>13.297996800000004</v>
      </c>
      <c r="K21" s="224">
        <f>J21*20%+J21</f>
        <v>15.957596160000005</v>
      </c>
    </row>
    <row r="22" spans="1:11" ht="15" hidden="1" thickBot="1">
      <c r="A22" s="3"/>
      <c r="B22" s="42"/>
      <c r="C22" s="37" t="s">
        <v>21</v>
      </c>
      <c r="D22" s="34"/>
      <c r="E22" s="35">
        <v>6.89</v>
      </c>
      <c r="F22" s="242">
        <v>7</v>
      </c>
      <c r="G22" s="252">
        <v>7.7000000000000011</v>
      </c>
      <c r="H22" s="257">
        <f>G22*16.67%+G22</f>
        <v>8.9835900000000013</v>
      </c>
      <c r="I22" s="257">
        <f>H22*16.67%+H22</f>
        <v>10.481154453000002</v>
      </c>
      <c r="J22" s="257">
        <f>I22*16.67%+I22</f>
        <v>12.228362900315103</v>
      </c>
      <c r="K22" s="257">
        <f>J22*16.67%+J22</f>
        <v>14.266830995797632</v>
      </c>
    </row>
    <row r="23" spans="1:11" hidden="1">
      <c r="A23" s="3"/>
      <c r="B23" s="58" t="s">
        <v>29</v>
      </c>
      <c r="C23" s="59"/>
      <c r="D23" s="60"/>
      <c r="E23" s="59"/>
      <c r="F23" s="59"/>
      <c r="G23" s="59"/>
      <c r="H23" s="59"/>
      <c r="I23" s="59"/>
      <c r="J23" s="59"/>
      <c r="K23" s="59"/>
    </row>
    <row r="24" spans="1:11" ht="15" hidden="1" thickBot="1">
      <c r="A24" s="3"/>
      <c r="B24" s="61"/>
      <c r="D24" s="63"/>
    </row>
    <row r="25" spans="1:11" ht="16.5" hidden="1" customHeight="1" thickBot="1">
      <c r="A25" s="3"/>
      <c r="B25" s="975" t="s">
        <v>30</v>
      </c>
      <c r="C25" s="976"/>
      <c r="D25" s="977"/>
      <c r="E25" s="978" t="s">
        <v>30</v>
      </c>
      <c r="F25" s="979"/>
      <c r="G25" s="979"/>
      <c r="H25" s="979"/>
      <c r="I25" s="979"/>
      <c r="J25" s="980"/>
      <c r="K25" s="13"/>
    </row>
    <row r="26" spans="1:11" ht="16.5" hidden="1" customHeight="1" thickBot="1">
      <c r="A26" s="3"/>
      <c r="B26" s="975" t="s">
        <v>10</v>
      </c>
      <c r="C26" s="976"/>
      <c r="D26" s="977"/>
      <c r="E26" s="978" t="s">
        <v>10</v>
      </c>
      <c r="F26" s="979"/>
      <c r="G26" s="979"/>
      <c r="H26" s="979"/>
      <c r="I26" s="979"/>
      <c r="J26" s="980"/>
      <c r="K26" s="13"/>
    </row>
    <row r="27" spans="1:11" ht="31" hidden="1" thickBot="1">
      <c r="A27" s="3"/>
      <c r="B27" s="324" t="s">
        <v>31</v>
      </c>
      <c r="C27" s="286"/>
      <c r="D27" s="287"/>
      <c r="E27" s="288" t="s">
        <v>3</v>
      </c>
      <c r="F27" s="288" t="s">
        <v>4</v>
      </c>
      <c r="G27" s="288" t="s">
        <v>5</v>
      </c>
      <c r="H27" s="288" t="s">
        <v>32</v>
      </c>
      <c r="I27" s="288" t="s">
        <v>7</v>
      </c>
      <c r="J27" s="288" t="s">
        <v>8</v>
      </c>
      <c r="K27" s="288" t="s">
        <v>8</v>
      </c>
    </row>
    <row r="28" spans="1:11" ht="15" hidden="1" thickBot="1">
      <c r="A28" s="3"/>
      <c r="B28" s="26" t="s">
        <v>33</v>
      </c>
      <c r="C28" s="59" t="s">
        <v>34</v>
      </c>
      <c r="D28" s="60"/>
      <c r="E28" s="65" t="s">
        <v>14</v>
      </c>
      <c r="F28" s="65" t="s">
        <v>14</v>
      </c>
      <c r="G28" s="59" t="s">
        <v>14</v>
      </c>
      <c r="H28" s="59" t="s">
        <v>14</v>
      </c>
      <c r="I28" s="59" t="s">
        <v>14</v>
      </c>
      <c r="J28" s="66" t="s">
        <v>14</v>
      </c>
      <c r="K28" s="66" t="s">
        <v>14</v>
      </c>
    </row>
    <row r="29" spans="1:11" ht="15" hidden="1" thickBot="1">
      <c r="A29" s="3"/>
      <c r="B29" s="67" t="s">
        <v>35</v>
      </c>
      <c r="C29" s="40"/>
      <c r="D29" s="41" t="s">
        <v>36</v>
      </c>
      <c r="E29" s="68" t="s">
        <v>36</v>
      </c>
      <c r="F29" s="69"/>
      <c r="G29" s="266"/>
      <c r="H29" s="70"/>
      <c r="I29" s="70"/>
      <c r="J29" s="70">
        <v>0</v>
      </c>
      <c r="K29" s="70">
        <v>0</v>
      </c>
    </row>
    <row r="30" spans="1:11" hidden="1">
      <c r="A30" s="3"/>
      <c r="B30" s="32" t="s">
        <v>35</v>
      </c>
      <c r="C30" s="62" t="s">
        <v>37</v>
      </c>
      <c r="D30" s="63" t="s">
        <v>38</v>
      </c>
      <c r="E30" s="71">
        <v>60</v>
      </c>
      <c r="F30" s="258">
        <v>66</v>
      </c>
      <c r="G30" s="267">
        <v>72.600000000000009</v>
      </c>
      <c r="H30" s="267">
        <f t="shared" ref="H30:H50" si="0">G30*10%+G30</f>
        <v>79.860000000000014</v>
      </c>
      <c r="I30" s="72">
        <v>87.846000000000018</v>
      </c>
      <c r="J30" s="72">
        <v>96.63060000000003</v>
      </c>
      <c r="K30" s="72">
        <v>96.63060000000003</v>
      </c>
    </row>
    <row r="31" spans="1:11" ht="15" hidden="1" thickBot="1">
      <c r="A31" s="3"/>
      <c r="B31" s="73" t="s">
        <v>39</v>
      </c>
      <c r="C31" s="74" t="s">
        <v>40</v>
      </c>
      <c r="D31" s="75" t="s">
        <v>38</v>
      </c>
      <c r="E31" s="76">
        <v>90</v>
      </c>
      <c r="F31" s="259">
        <v>99.000000000000014</v>
      </c>
      <c r="G31" s="268">
        <v>108.90000000000002</v>
      </c>
      <c r="H31" s="268">
        <f t="shared" si="0"/>
        <v>119.79000000000002</v>
      </c>
      <c r="I31" s="77">
        <v>131.76900000000006</v>
      </c>
      <c r="J31" s="77">
        <v>144.94590000000008</v>
      </c>
      <c r="K31" s="77">
        <v>144.94590000000008</v>
      </c>
    </row>
    <row r="32" spans="1:11" ht="15" hidden="1" thickBot="1">
      <c r="A32" s="3"/>
      <c r="B32" s="73" t="s">
        <v>41</v>
      </c>
      <c r="C32" s="62" t="s">
        <v>42</v>
      </c>
      <c r="D32" s="63" t="s">
        <v>43</v>
      </c>
      <c r="E32" s="78">
        <v>60</v>
      </c>
      <c r="F32" s="260">
        <v>66</v>
      </c>
      <c r="G32" s="226">
        <v>72.600000000000009</v>
      </c>
      <c r="H32" s="226">
        <f t="shared" si="0"/>
        <v>79.860000000000014</v>
      </c>
      <c r="I32" s="79">
        <v>87.846000000000018</v>
      </c>
      <c r="J32" s="79">
        <v>96.63060000000003</v>
      </c>
      <c r="K32" s="79">
        <v>96.63060000000003</v>
      </c>
    </row>
    <row r="33" spans="1:11" hidden="1">
      <c r="A33" s="3"/>
      <c r="B33" s="67" t="s">
        <v>44</v>
      </c>
      <c r="C33" s="40"/>
      <c r="D33" s="41" t="s">
        <v>36</v>
      </c>
      <c r="E33" s="80"/>
      <c r="F33" s="261">
        <v>0</v>
      </c>
      <c r="G33" s="269">
        <v>0</v>
      </c>
      <c r="H33" s="269">
        <f t="shared" si="0"/>
        <v>0</v>
      </c>
      <c r="I33" s="81">
        <v>0</v>
      </c>
      <c r="J33" s="81">
        <v>0</v>
      </c>
      <c r="K33" s="81">
        <v>0</v>
      </c>
    </row>
    <row r="34" spans="1:11" hidden="1">
      <c r="A34" s="3"/>
      <c r="B34" s="32" t="s">
        <v>44</v>
      </c>
      <c r="C34" s="37" t="s">
        <v>45</v>
      </c>
      <c r="D34" s="63"/>
      <c r="E34" s="71">
        <v>160</v>
      </c>
      <c r="F34" s="258">
        <v>176</v>
      </c>
      <c r="G34" s="270">
        <v>193.60000000000002</v>
      </c>
      <c r="H34" s="270">
        <f t="shared" si="0"/>
        <v>212.96000000000004</v>
      </c>
      <c r="I34" s="72">
        <v>234.25600000000006</v>
      </c>
      <c r="J34" s="72">
        <v>257.68160000000006</v>
      </c>
      <c r="K34" s="72">
        <v>257.68160000000006</v>
      </c>
    </row>
    <row r="35" spans="1:11" ht="15" hidden="1" thickBot="1">
      <c r="A35" s="3"/>
      <c r="B35" s="82"/>
      <c r="C35" s="74" t="s">
        <v>46</v>
      </c>
      <c r="D35" s="83" t="s">
        <v>47</v>
      </c>
      <c r="E35" s="76">
        <v>200</v>
      </c>
      <c r="F35" s="259">
        <v>220.00000000000003</v>
      </c>
      <c r="G35" s="268">
        <v>242.00000000000006</v>
      </c>
      <c r="H35" s="268">
        <f t="shared" si="0"/>
        <v>266.20000000000005</v>
      </c>
      <c r="I35" s="77">
        <v>292.82000000000016</v>
      </c>
      <c r="J35" s="77">
        <v>322.1020000000002</v>
      </c>
      <c r="K35" s="77">
        <v>322.1020000000002</v>
      </c>
    </row>
    <row r="36" spans="1:11" hidden="1">
      <c r="A36" s="3"/>
      <c r="B36" s="26" t="s">
        <v>48</v>
      </c>
      <c r="C36" s="59" t="s">
        <v>45</v>
      </c>
      <c r="D36" s="60"/>
      <c r="E36" s="84">
        <v>160</v>
      </c>
      <c r="F36" s="262">
        <v>176</v>
      </c>
      <c r="G36" s="267">
        <v>193.60000000000002</v>
      </c>
      <c r="H36" s="267">
        <f t="shared" si="0"/>
        <v>212.96000000000004</v>
      </c>
      <c r="I36" s="85">
        <v>234.25600000000006</v>
      </c>
      <c r="J36" s="85">
        <v>257.68160000000006</v>
      </c>
      <c r="K36" s="85">
        <v>257.68160000000006</v>
      </c>
    </row>
    <row r="37" spans="1:11" ht="15" hidden="1" thickBot="1">
      <c r="A37" s="3"/>
      <c r="B37" s="73" t="s">
        <v>49</v>
      </c>
      <c r="C37" s="74" t="s">
        <v>46</v>
      </c>
      <c r="D37" s="83" t="s">
        <v>47</v>
      </c>
      <c r="E37" s="86">
        <v>200</v>
      </c>
      <c r="F37" s="263">
        <v>220.00000000000003</v>
      </c>
      <c r="G37" s="271">
        <v>242.00000000000006</v>
      </c>
      <c r="H37" s="271">
        <f t="shared" si="0"/>
        <v>266.20000000000005</v>
      </c>
      <c r="I37" s="87">
        <v>292.82000000000016</v>
      </c>
      <c r="J37" s="87">
        <v>322.1020000000002</v>
      </c>
      <c r="K37" s="87">
        <v>322.1020000000002</v>
      </c>
    </row>
    <row r="38" spans="1:11" hidden="1">
      <c r="A38" s="3"/>
      <c r="B38" s="67" t="s">
        <v>18</v>
      </c>
      <c r="C38" s="40"/>
      <c r="D38" s="41" t="s">
        <v>36</v>
      </c>
      <c r="E38" s="80"/>
      <c r="F38" s="261">
        <v>0</v>
      </c>
      <c r="G38" s="269">
        <v>0</v>
      </c>
      <c r="H38" s="269">
        <f t="shared" si="0"/>
        <v>0</v>
      </c>
      <c r="I38" s="81">
        <v>0</v>
      </c>
      <c r="J38" s="81">
        <v>0</v>
      </c>
      <c r="K38" s="81">
        <v>0</v>
      </c>
    </row>
    <row r="39" spans="1:11" ht="15" hidden="1" thickBot="1">
      <c r="A39" s="3"/>
      <c r="B39" s="73" t="s">
        <v>18</v>
      </c>
      <c r="C39" s="74" t="s">
        <v>50</v>
      </c>
      <c r="D39" s="75"/>
      <c r="E39" s="88">
        <v>150</v>
      </c>
      <c r="F39" s="259">
        <v>165</v>
      </c>
      <c r="G39" s="268">
        <v>181.50000000000003</v>
      </c>
      <c r="H39" s="268">
        <f t="shared" si="0"/>
        <v>199.65000000000003</v>
      </c>
      <c r="I39" s="77">
        <v>219.61500000000007</v>
      </c>
      <c r="J39" s="77">
        <v>241.5765000000001</v>
      </c>
      <c r="K39" s="77">
        <v>241.5765000000001</v>
      </c>
    </row>
    <row r="40" spans="1:11" hidden="1">
      <c r="A40" s="3"/>
      <c r="B40" s="67" t="s">
        <v>16</v>
      </c>
      <c r="C40" s="40"/>
      <c r="D40" s="41" t="s">
        <v>36</v>
      </c>
      <c r="E40" s="89"/>
      <c r="F40" s="262">
        <v>0</v>
      </c>
      <c r="G40" s="267">
        <v>0</v>
      </c>
      <c r="H40" s="267">
        <f t="shared" si="0"/>
        <v>0</v>
      </c>
      <c r="I40" s="85">
        <v>0</v>
      </c>
      <c r="J40" s="85">
        <v>0</v>
      </c>
      <c r="K40" s="85">
        <v>0</v>
      </c>
    </row>
    <row r="41" spans="1:11" ht="15" hidden="1" thickBot="1">
      <c r="A41" s="3"/>
      <c r="B41" s="73" t="s">
        <v>51</v>
      </c>
      <c r="C41" s="13"/>
      <c r="D41" s="74" t="s">
        <v>52</v>
      </c>
      <c r="E41" s="90">
        <v>2.5</v>
      </c>
      <c r="F41" s="263">
        <v>2.75</v>
      </c>
      <c r="G41" s="271">
        <v>3.0250000000000004</v>
      </c>
      <c r="H41" s="271">
        <f t="shared" si="0"/>
        <v>3.3275000000000006</v>
      </c>
      <c r="I41" s="87">
        <v>3.6602500000000009</v>
      </c>
      <c r="J41" s="87">
        <v>4.0262750000000009</v>
      </c>
      <c r="K41" s="87">
        <v>4.0262750000000009</v>
      </c>
    </row>
    <row r="42" spans="1:11" hidden="1">
      <c r="A42" s="3"/>
      <c r="B42" s="26" t="s">
        <v>53</v>
      </c>
      <c r="C42" s="59" t="s">
        <v>54</v>
      </c>
      <c r="D42" s="60"/>
      <c r="E42" s="71">
        <v>160</v>
      </c>
      <c r="F42" s="261">
        <v>176</v>
      </c>
      <c r="G42" s="269">
        <v>193.60000000000002</v>
      </c>
      <c r="H42" s="269">
        <f t="shared" si="0"/>
        <v>212.96000000000004</v>
      </c>
      <c r="I42" s="81">
        <v>234.25600000000006</v>
      </c>
      <c r="J42" s="81">
        <v>257.68160000000006</v>
      </c>
      <c r="K42" s="81">
        <v>257.68160000000006</v>
      </c>
    </row>
    <row r="43" spans="1:11" ht="15" hidden="1" thickBot="1">
      <c r="A43" s="3"/>
      <c r="B43" s="91" t="s">
        <v>55</v>
      </c>
      <c r="C43" s="74" t="s">
        <v>46</v>
      </c>
      <c r="D43" s="75"/>
      <c r="E43" s="76">
        <v>90</v>
      </c>
      <c r="F43" s="259">
        <v>99.000000000000014</v>
      </c>
      <c r="G43" s="268">
        <v>108.90000000000002</v>
      </c>
      <c r="H43" s="268">
        <f t="shared" si="0"/>
        <v>119.79000000000002</v>
      </c>
      <c r="I43" s="77">
        <v>131.76900000000006</v>
      </c>
      <c r="J43" s="77">
        <v>144.94590000000008</v>
      </c>
      <c r="K43" s="77">
        <v>144.94590000000008</v>
      </c>
    </row>
    <row r="44" spans="1:11" hidden="1">
      <c r="A44" s="3"/>
      <c r="B44" s="26" t="s">
        <v>56</v>
      </c>
      <c r="C44" s="59" t="s">
        <v>57</v>
      </c>
      <c r="D44" s="60"/>
      <c r="E44" s="29">
        <v>18.920000000000002</v>
      </c>
      <c r="F44" s="262">
        <v>20.812000000000005</v>
      </c>
      <c r="G44" s="267">
        <v>22.893200000000007</v>
      </c>
      <c r="H44" s="267">
        <f t="shared" si="0"/>
        <v>25.182520000000007</v>
      </c>
      <c r="I44" s="85">
        <v>27.700772000000015</v>
      </c>
      <c r="J44" s="85">
        <v>30.470849200000018</v>
      </c>
      <c r="K44" s="85">
        <v>30.470849200000018</v>
      </c>
    </row>
    <row r="45" spans="1:11" hidden="1">
      <c r="A45" s="3"/>
      <c r="B45" s="42"/>
      <c r="C45" s="62" t="s">
        <v>58</v>
      </c>
      <c r="D45" s="63"/>
      <c r="E45" s="35">
        <v>4.7300000000000004</v>
      </c>
      <c r="F45" s="258">
        <v>5.2030000000000012</v>
      </c>
      <c r="G45" s="270">
        <v>5.7233000000000018</v>
      </c>
      <c r="H45" s="270">
        <f t="shared" si="0"/>
        <v>6.2956300000000018</v>
      </c>
      <c r="I45" s="72">
        <v>6.9251930000000037</v>
      </c>
      <c r="J45" s="72">
        <v>7.6177123000000044</v>
      </c>
      <c r="K45" s="72">
        <v>7.6177123000000044</v>
      </c>
    </row>
    <row r="46" spans="1:11" hidden="1">
      <c r="A46" s="3"/>
      <c r="B46" s="42"/>
      <c r="C46" s="62" t="s">
        <v>59</v>
      </c>
      <c r="D46" s="63"/>
      <c r="E46" s="35">
        <v>341</v>
      </c>
      <c r="F46" s="258">
        <v>375.1</v>
      </c>
      <c r="G46" s="270">
        <v>412.61000000000007</v>
      </c>
      <c r="H46" s="270">
        <f t="shared" si="0"/>
        <v>453.87100000000009</v>
      </c>
      <c r="I46" s="72">
        <v>499.25810000000013</v>
      </c>
      <c r="J46" s="72">
        <v>549.1839100000002</v>
      </c>
      <c r="K46" s="72">
        <v>549.1839100000002</v>
      </c>
    </row>
    <row r="47" spans="1:11" ht="15" hidden="1" thickBot="1">
      <c r="A47" s="3"/>
      <c r="B47" s="43"/>
      <c r="C47" s="74" t="s">
        <v>60</v>
      </c>
      <c r="D47" s="75"/>
      <c r="E47" s="46">
        <v>513.70000000000005</v>
      </c>
      <c r="F47" s="263">
        <v>565.07000000000005</v>
      </c>
      <c r="G47" s="271">
        <v>621.57700000000011</v>
      </c>
      <c r="H47" s="271">
        <f t="shared" si="0"/>
        <v>683.73470000000009</v>
      </c>
      <c r="I47" s="87">
        <v>752.10817000000031</v>
      </c>
      <c r="J47" s="87">
        <v>827.31898700000045</v>
      </c>
      <c r="K47" s="87">
        <v>827.31898700000045</v>
      </c>
    </row>
    <row r="48" spans="1:11" hidden="1">
      <c r="A48" s="3"/>
      <c r="B48" s="92"/>
      <c r="C48" s="62" t="s">
        <v>61</v>
      </c>
      <c r="D48" s="63"/>
      <c r="E48" s="52">
        <v>4730</v>
      </c>
      <c r="F48" s="261">
        <v>5203</v>
      </c>
      <c r="G48" s="269">
        <v>5723.3</v>
      </c>
      <c r="H48" s="269">
        <f t="shared" si="0"/>
        <v>6295.63</v>
      </c>
      <c r="I48" s="81">
        <v>6925.193000000002</v>
      </c>
      <c r="J48" s="81">
        <v>7617.7123000000029</v>
      </c>
      <c r="K48" s="81">
        <v>7617.7123000000029</v>
      </c>
    </row>
    <row r="49" spans="1:11" hidden="1">
      <c r="A49" s="3"/>
      <c r="B49" s="32"/>
      <c r="C49" s="62" t="s">
        <v>62</v>
      </c>
      <c r="D49" s="63"/>
      <c r="E49" s="35">
        <v>5544</v>
      </c>
      <c r="F49" s="258">
        <v>6098.4000000000005</v>
      </c>
      <c r="G49" s="270">
        <v>6708.2400000000007</v>
      </c>
      <c r="H49" s="270">
        <f t="shared" si="0"/>
        <v>7379.0640000000003</v>
      </c>
      <c r="I49" s="72">
        <v>8116.970400000002</v>
      </c>
      <c r="J49" s="72">
        <v>8928.6674400000029</v>
      </c>
      <c r="K49" s="72">
        <v>8928.6674400000029</v>
      </c>
    </row>
    <row r="50" spans="1:11" ht="15" hidden="1" thickBot="1">
      <c r="A50" s="3"/>
      <c r="B50" s="92"/>
      <c r="C50" s="62" t="s">
        <v>63</v>
      </c>
      <c r="D50" s="63"/>
      <c r="E50" s="46">
        <v>220</v>
      </c>
      <c r="F50" s="264">
        <v>242.00000000000003</v>
      </c>
      <c r="G50" s="272">
        <v>266.20000000000005</v>
      </c>
      <c r="H50" s="272">
        <f t="shared" si="0"/>
        <v>292.82000000000005</v>
      </c>
      <c r="I50" s="93">
        <v>322.10200000000009</v>
      </c>
      <c r="J50" s="93">
        <v>354.31220000000013</v>
      </c>
      <c r="K50" s="93">
        <v>354.31220000000013</v>
      </c>
    </row>
    <row r="51" spans="1:11" ht="15" hidden="1" thickBot="1">
      <c r="A51" s="3"/>
      <c r="B51" s="20" t="s">
        <v>64</v>
      </c>
      <c r="C51" s="21"/>
      <c r="D51" s="48"/>
      <c r="E51" s="78" t="s">
        <v>65</v>
      </c>
      <c r="F51" s="265" t="s">
        <v>65</v>
      </c>
      <c r="G51" s="232" t="s">
        <v>65</v>
      </c>
      <c r="H51" s="232" t="s">
        <v>65</v>
      </c>
      <c r="I51" s="94" t="s">
        <v>65</v>
      </c>
      <c r="J51" s="94" t="s">
        <v>65</v>
      </c>
      <c r="K51" s="94" t="s">
        <v>65</v>
      </c>
    </row>
    <row r="52" spans="1:11" ht="15" hidden="1" thickBot="1">
      <c r="A52" s="3"/>
      <c r="B52" s="61" t="s">
        <v>29</v>
      </c>
      <c r="D52" s="63"/>
    </row>
    <row r="53" spans="1:11" ht="31" hidden="1" thickBot="1">
      <c r="A53" s="3"/>
      <c r="B53" s="14" t="s">
        <v>66</v>
      </c>
      <c r="C53" s="15"/>
      <c r="D53" s="16"/>
      <c r="E53" s="12" t="s">
        <v>3</v>
      </c>
      <c r="F53" s="12" t="s">
        <v>4</v>
      </c>
      <c r="G53" s="12" t="s">
        <v>5</v>
      </c>
      <c r="H53" s="12" t="s">
        <v>32</v>
      </c>
      <c r="I53" s="12" t="s">
        <v>7</v>
      </c>
      <c r="J53" s="12" t="s">
        <v>8</v>
      </c>
      <c r="K53" s="12" t="s">
        <v>8</v>
      </c>
    </row>
    <row r="54" spans="1:11" hidden="1">
      <c r="A54" s="3"/>
      <c r="B54" s="26" t="s">
        <v>67</v>
      </c>
      <c r="C54" s="40" t="s">
        <v>68</v>
      </c>
      <c r="D54" s="95"/>
      <c r="E54" s="96">
        <v>5700</v>
      </c>
      <c r="F54" s="273">
        <v>8500</v>
      </c>
      <c r="G54" s="97">
        <v>9350</v>
      </c>
      <c r="H54" s="97">
        <f t="shared" ref="H54:H60" si="1">G54*10%+G54</f>
        <v>10285</v>
      </c>
      <c r="I54" s="97">
        <v>11313.500000000002</v>
      </c>
      <c r="J54" s="97">
        <v>12444.850000000002</v>
      </c>
      <c r="K54" s="97">
        <v>12444.850000000002</v>
      </c>
    </row>
    <row r="55" spans="1:11" hidden="1">
      <c r="A55" s="3"/>
      <c r="B55" s="32" t="s">
        <v>69</v>
      </c>
      <c r="C55" s="33" t="s">
        <v>70</v>
      </c>
      <c r="D55" s="98"/>
      <c r="E55" s="99">
        <v>5700</v>
      </c>
      <c r="F55" s="274">
        <v>8500</v>
      </c>
      <c r="G55" s="100">
        <v>9350</v>
      </c>
      <c r="H55" s="100">
        <f t="shared" si="1"/>
        <v>10285</v>
      </c>
      <c r="I55" s="100">
        <v>11313.500000000002</v>
      </c>
      <c r="J55" s="100">
        <v>12444.850000000002</v>
      </c>
      <c r="K55" s="100">
        <v>12444.850000000002</v>
      </c>
    </row>
    <row r="56" spans="1:11" ht="15" hidden="1" thickBot="1">
      <c r="A56" s="3"/>
      <c r="B56" s="42"/>
      <c r="C56" s="37" t="s">
        <v>71</v>
      </c>
      <c r="D56" s="101"/>
      <c r="E56" s="102">
        <v>6600</v>
      </c>
      <c r="F56" s="275">
        <v>10000</v>
      </c>
      <c r="G56" s="103">
        <v>11000</v>
      </c>
      <c r="H56" s="103">
        <f t="shared" si="1"/>
        <v>12100</v>
      </c>
      <c r="I56" s="103">
        <v>13310.000000000004</v>
      </c>
      <c r="J56" s="103">
        <v>14641.000000000005</v>
      </c>
      <c r="K56" s="103">
        <v>14641.000000000005</v>
      </c>
    </row>
    <row r="57" spans="1:11" ht="15" hidden="1" thickBot="1">
      <c r="A57" s="3"/>
      <c r="B57" s="43"/>
      <c r="C57" s="104" t="s">
        <v>72</v>
      </c>
      <c r="D57" s="105"/>
      <c r="E57" s="106">
        <v>18000</v>
      </c>
      <c r="F57" s="276">
        <v>27000</v>
      </c>
      <c r="G57" s="107">
        <v>29700.000000000004</v>
      </c>
      <c r="H57" s="107">
        <f>SUM(H54:H56)</f>
        <v>32670</v>
      </c>
      <c r="I57" s="107">
        <v>35937.000000000007</v>
      </c>
      <c r="J57" s="107">
        <v>39530.700000000012</v>
      </c>
      <c r="K57" s="107">
        <v>39530.700000000012</v>
      </c>
    </row>
    <row r="58" spans="1:11" ht="15" hidden="1" thickBot="1">
      <c r="A58" s="3"/>
      <c r="B58" s="26" t="s">
        <v>67</v>
      </c>
      <c r="C58" s="108" t="s">
        <v>68</v>
      </c>
      <c r="D58" s="105"/>
      <c r="E58" s="96">
        <v>11400</v>
      </c>
      <c r="F58" s="273">
        <v>17000</v>
      </c>
      <c r="G58" s="97">
        <v>18700</v>
      </c>
      <c r="H58" s="97">
        <f t="shared" si="1"/>
        <v>20570</v>
      </c>
      <c r="I58" s="97">
        <v>22627.000000000004</v>
      </c>
      <c r="J58" s="97">
        <v>24889.700000000004</v>
      </c>
      <c r="K58" s="97">
        <v>24889.700000000004</v>
      </c>
    </row>
    <row r="59" spans="1:11" hidden="1">
      <c r="A59" s="3"/>
      <c r="B59" s="32" t="s">
        <v>73</v>
      </c>
      <c r="C59" s="40" t="s">
        <v>70</v>
      </c>
      <c r="D59" s="83"/>
      <c r="E59" s="99">
        <v>11400</v>
      </c>
      <c r="F59" s="274">
        <v>17000</v>
      </c>
      <c r="G59" s="100">
        <v>18700</v>
      </c>
      <c r="H59" s="100">
        <f t="shared" si="1"/>
        <v>20570</v>
      </c>
      <c r="I59" s="100">
        <v>22627.000000000004</v>
      </c>
      <c r="J59" s="100">
        <v>24889.700000000004</v>
      </c>
      <c r="K59" s="100">
        <v>24889.700000000004</v>
      </c>
    </row>
    <row r="60" spans="1:11" ht="15" hidden="1" thickBot="1">
      <c r="A60" s="3"/>
      <c r="B60" s="42"/>
      <c r="C60" s="37" t="s">
        <v>71</v>
      </c>
      <c r="D60" s="101"/>
      <c r="E60" s="102">
        <v>13200</v>
      </c>
      <c r="F60" s="275">
        <v>20000</v>
      </c>
      <c r="G60" s="100">
        <v>22000</v>
      </c>
      <c r="H60" s="100">
        <f t="shared" si="1"/>
        <v>24200</v>
      </c>
      <c r="I60" s="100">
        <v>26620.000000000007</v>
      </c>
      <c r="J60" s="100">
        <v>29282.000000000011</v>
      </c>
      <c r="K60" s="100">
        <v>29282.000000000011</v>
      </c>
    </row>
    <row r="61" spans="1:11" ht="15" hidden="1" thickBot="1">
      <c r="A61" s="3"/>
      <c r="B61" s="43"/>
      <c r="C61" s="104" t="s">
        <v>72</v>
      </c>
      <c r="D61" s="105"/>
      <c r="E61" s="109">
        <v>36000</v>
      </c>
      <c r="F61" s="277">
        <v>54000</v>
      </c>
      <c r="G61" s="110">
        <v>59400.000000000007</v>
      </c>
      <c r="H61" s="110">
        <f>SUM(H58:H60)</f>
        <v>65340</v>
      </c>
      <c r="I61" s="110">
        <v>71874.000000000015</v>
      </c>
      <c r="J61" s="110">
        <v>79061.400000000023</v>
      </c>
      <c r="K61" s="110">
        <v>79061.400000000023</v>
      </c>
    </row>
    <row r="62" spans="1:11" ht="15" hidden="1" thickBot="1">
      <c r="A62" s="3"/>
      <c r="B62" s="20" t="s">
        <v>64</v>
      </c>
      <c r="C62" s="21"/>
      <c r="D62" s="48"/>
      <c r="E62" s="78" t="s">
        <v>65</v>
      </c>
      <c r="F62" s="265" t="s">
        <v>65</v>
      </c>
      <c r="G62" s="94" t="s">
        <v>65</v>
      </c>
      <c r="H62" s="94" t="s">
        <v>65</v>
      </c>
      <c r="I62" s="94" t="s">
        <v>65</v>
      </c>
      <c r="J62" s="94" t="s">
        <v>65</v>
      </c>
      <c r="K62" s="94" t="s">
        <v>65</v>
      </c>
    </row>
    <row r="63" spans="1:11" hidden="1">
      <c r="A63" s="3"/>
      <c r="B63" s="61" t="s">
        <v>29</v>
      </c>
      <c r="D63" s="63"/>
    </row>
    <row r="64" spans="1:11" hidden="1">
      <c r="A64" s="3"/>
      <c r="B64" s="61"/>
      <c r="D64" s="63"/>
    </row>
    <row r="65" spans="1:11" ht="15" hidden="1" thickBot="1">
      <c r="A65" s="3"/>
      <c r="B65" s="111" t="s">
        <v>74</v>
      </c>
      <c r="E65" s="112"/>
      <c r="F65" s="112"/>
      <c r="G65" s="112"/>
      <c r="H65" s="112"/>
      <c r="I65" s="112"/>
      <c r="J65" s="112"/>
      <c r="K65" s="112"/>
    </row>
    <row r="66" spans="1:11" ht="16.5" hidden="1" customHeight="1" thickBot="1">
      <c r="A66" s="3"/>
      <c r="B66" s="975" t="s">
        <v>10</v>
      </c>
      <c r="C66" s="976"/>
      <c r="D66" s="977"/>
      <c r="E66" s="978" t="s">
        <v>10</v>
      </c>
      <c r="F66" s="979"/>
      <c r="G66" s="979"/>
      <c r="H66" s="979"/>
      <c r="I66" s="979"/>
      <c r="J66" s="979"/>
      <c r="K66" s="13"/>
    </row>
    <row r="67" spans="1:11" s="117" customFormat="1" ht="44" hidden="1" thickBot="1">
      <c r="A67" s="113" t="s">
        <v>75</v>
      </c>
      <c r="B67" s="114" t="s">
        <v>76</v>
      </c>
      <c r="C67" s="115"/>
      <c r="D67" s="116"/>
      <c r="E67" s="12" t="s">
        <v>3</v>
      </c>
      <c r="F67" s="12" t="s">
        <v>4</v>
      </c>
      <c r="G67" s="12" t="s">
        <v>5</v>
      </c>
      <c r="H67" s="12" t="s">
        <v>32</v>
      </c>
      <c r="I67" s="12" t="s">
        <v>7</v>
      </c>
      <c r="J67" s="12" t="s">
        <v>8</v>
      </c>
      <c r="K67" s="12" t="s">
        <v>8</v>
      </c>
    </row>
    <row r="68" spans="1:11" hidden="1">
      <c r="A68" s="118" t="s">
        <v>77</v>
      </c>
      <c r="B68" s="119" t="s">
        <v>78</v>
      </c>
      <c r="C68" s="37"/>
      <c r="D68" s="37"/>
      <c r="E68" s="120">
        <v>300</v>
      </c>
      <c r="F68" s="121">
        <v>330</v>
      </c>
      <c r="G68" s="237">
        <v>363.00000000000006</v>
      </c>
      <c r="H68" s="245">
        <f>G68*10%+G68</f>
        <v>399.30000000000007</v>
      </c>
      <c r="I68" s="122">
        <v>439.23000000000013</v>
      </c>
      <c r="J68" s="122">
        <v>483.15300000000019</v>
      </c>
      <c r="K68" s="122">
        <v>483.15300000000019</v>
      </c>
    </row>
    <row r="69" spans="1:11" ht="30" hidden="1">
      <c r="A69" s="123"/>
      <c r="B69" s="124"/>
      <c r="C69" s="125" t="s">
        <v>79</v>
      </c>
      <c r="D69" s="125"/>
      <c r="E69" s="126"/>
      <c r="F69" s="127"/>
      <c r="G69" s="238"/>
      <c r="H69" s="246"/>
      <c r="I69" s="128"/>
      <c r="J69" s="128"/>
      <c r="K69" s="128"/>
    </row>
    <row r="70" spans="1:11" ht="30" hidden="1">
      <c r="A70" s="123"/>
      <c r="B70" s="124"/>
      <c r="C70" s="125" t="s">
        <v>80</v>
      </c>
      <c r="D70" s="125"/>
      <c r="E70" s="126"/>
      <c r="F70" s="127"/>
      <c r="G70" s="238"/>
      <c r="H70" s="246"/>
      <c r="I70" s="128"/>
      <c r="J70" s="128"/>
      <c r="K70" s="128"/>
    </row>
    <row r="71" spans="1:11" ht="15" hidden="1">
      <c r="A71" s="129"/>
      <c r="B71" s="130"/>
      <c r="C71" s="131" t="s">
        <v>81</v>
      </c>
      <c r="D71" s="131"/>
      <c r="E71" s="132"/>
      <c r="F71" s="133"/>
      <c r="G71" s="239"/>
      <c r="H71" s="247"/>
      <c r="I71" s="134"/>
      <c r="J71" s="134"/>
      <c r="K71" s="134"/>
    </row>
    <row r="72" spans="1:11" hidden="1">
      <c r="A72" s="118" t="s">
        <v>82</v>
      </c>
      <c r="B72" s="119" t="s">
        <v>83</v>
      </c>
      <c r="C72" s="37"/>
      <c r="D72" s="37"/>
      <c r="E72" s="135">
        <v>300</v>
      </c>
      <c r="F72" s="127">
        <v>330</v>
      </c>
      <c r="G72" s="238">
        <v>363.00000000000006</v>
      </c>
      <c r="H72" s="246">
        <f>G72*10%+G72</f>
        <v>399.30000000000007</v>
      </c>
      <c r="I72" s="136">
        <v>439.23000000000013</v>
      </c>
      <c r="J72" s="136">
        <v>483.15300000000019</v>
      </c>
      <c r="K72" s="136">
        <v>483.15300000000019</v>
      </c>
    </row>
    <row r="73" spans="1:11" hidden="1">
      <c r="A73" s="129"/>
      <c r="B73" s="130"/>
      <c r="C73" s="27" t="s">
        <v>84</v>
      </c>
      <c r="D73" s="27"/>
      <c r="E73" s="132"/>
      <c r="F73" s="133"/>
      <c r="G73" s="239"/>
      <c r="H73" s="247"/>
      <c r="I73" s="134"/>
      <c r="J73" s="134"/>
      <c r="K73" s="134"/>
    </row>
    <row r="74" spans="1:11" hidden="1">
      <c r="A74" s="118" t="s">
        <v>85</v>
      </c>
      <c r="B74" s="137" t="s">
        <v>86</v>
      </c>
      <c r="C74" s="33" t="s">
        <v>87</v>
      </c>
      <c r="D74" s="33"/>
      <c r="E74" s="35">
        <v>250</v>
      </c>
      <c r="F74" s="138">
        <v>275</v>
      </c>
      <c r="G74" s="240">
        <v>302.5</v>
      </c>
      <c r="H74" s="248">
        <f>G74*10%+G74</f>
        <v>332.75</v>
      </c>
      <c r="I74" s="139">
        <v>366.02500000000003</v>
      </c>
      <c r="J74" s="139">
        <v>402.62750000000005</v>
      </c>
      <c r="K74" s="139">
        <v>402.62750000000005</v>
      </c>
    </row>
    <row r="75" spans="1:11" hidden="1">
      <c r="A75" s="118" t="s">
        <v>88</v>
      </c>
      <c r="B75" s="119" t="s">
        <v>89</v>
      </c>
      <c r="C75" s="37" t="s">
        <v>90</v>
      </c>
      <c r="D75" s="37"/>
      <c r="E75" s="39">
        <v>1000</v>
      </c>
      <c r="F75" s="140">
        <v>1100</v>
      </c>
      <c r="G75" s="241">
        <v>1210</v>
      </c>
      <c r="H75" s="249">
        <f>G75*10%+G75</f>
        <v>1331</v>
      </c>
      <c r="I75" s="141">
        <v>1464.1000000000001</v>
      </c>
      <c r="J75" s="141">
        <v>1610.5100000000002</v>
      </c>
      <c r="K75" s="141">
        <v>1610.5100000000002</v>
      </c>
    </row>
    <row r="76" spans="1:11" hidden="1">
      <c r="A76" s="129"/>
      <c r="B76" s="130" t="s">
        <v>91</v>
      </c>
      <c r="C76" s="142"/>
      <c r="D76" s="27"/>
      <c r="E76" s="52"/>
      <c r="F76" s="53"/>
      <c r="G76" s="242"/>
      <c r="H76" s="250"/>
      <c r="I76" s="54"/>
      <c r="J76" s="54"/>
      <c r="K76" s="54"/>
    </row>
    <row r="77" spans="1:11" hidden="1">
      <c r="A77" s="118" t="s">
        <v>92</v>
      </c>
      <c r="B77" s="119" t="s">
        <v>93</v>
      </c>
      <c r="C77" s="37" t="s">
        <v>94</v>
      </c>
      <c r="D77" s="37"/>
      <c r="E77" s="39">
        <v>500</v>
      </c>
      <c r="F77" s="140">
        <v>550</v>
      </c>
      <c r="G77" s="241">
        <v>605</v>
      </c>
      <c r="H77" s="249">
        <f>G77*10%+G77</f>
        <v>665.5</v>
      </c>
      <c r="I77" s="141">
        <v>732.05000000000007</v>
      </c>
      <c r="J77" s="141">
        <v>805.25500000000011</v>
      </c>
      <c r="K77" s="141">
        <v>805.25500000000011</v>
      </c>
    </row>
    <row r="78" spans="1:11" hidden="1">
      <c r="A78" s="123"/>
      <c r="B78" s="124" t="s">
        <v>95</v>
      </c>
      <c r="C78" s="62" t="s">
        <v>96</v>
      </c>
      <c r="E78" s="143"/>
      <c r="F78" s="57"/>
      <c r="G78" s="243"/>
      <c r="H78" s="251"/>
      <c r="I78" s="144"/>
      <c r="J78" s="144"/>
      <c r="K78" s="144"/>
    </row>
    <row r="79" spans="1:11" hidden="1">
      <c r="A79" s="123"/>
      <c r="B79" s="130"/>
      <c r="C79" s="27"/>
      <c r="D79" s="27"/>
      <c r="E79" s="52"/>
      <c r="F79" s="53"/>
      <c r="G79" s="242"/>
      <c r="H79" s="250"/>
      <c r="I79" s="54"/>
      <c r="J79" s="54"/>
      <c r="K79" s="54"/>
    </row>
    <row r="80" spans="1:11" hidden="1">
      <c r="A80" s="118" t="s">
        <v>97</v>
      </c>
      <c r="B80" s="119" t="s">
        <v>98</v>
      </c>
      <c r="C80" s="37" t="s">
        <v>99</v>
      </c>
      <c r="D80" s="37"/>
      <c r="E80" s="39">
        <v>500</v>
      </c>
      <c r="F80" s="140">
        <v>550</v>
      </c>
      <c r="G80" s="241">
        <v>605</v>
      </c>
      <c r="H80" s="249">
        <f>G80*10%+G80</f>
        <v>665.5</v>
      </c>
      <c r="I80" s="141">
        <v>732.05000000000007</v>
      </c>
      <c r="J80" s="141">
        <v>805.25500000000011</v>
      </c>
      <c r="K80" s="141">
        <v>805.25500000000011</v>
      </c>
    </row>
    <row r="81" spans="1:11" hidden="1">
      <c r="A81" s="123"/>
      <c r="B81" s="124"/>
      <c r="C81" s="62" t="s">
        <v>100</v>
      </c>
      <c r="E81" s="143"/>
      <c r="F81" s="57"/>
      <c r="G81" s="243"/>
      <c r="H81" s="251"/>
      <c r="I81" s="144"/>
      <c r="J81" s="144"/>
      <c r="K81" s="144"/>
    </row>
    <row r="82" spans="1:11" hidden="1">
      <c r="A82" s="118" t="s">
        <v>101</v>
      </c>
      <c r="B82" s="119" t="s">
        <v>102</v>
      </c>
      <c r="C82" s="37" t="s">
        <v>103</v>
      </c>
      <c r="D82" s="37"/>
      <c r="E82" s="39">
        <v>250</v>
      </c>
      <c r="F82" s="140">
        <v>275</v>
      </c>
      <c r="G82" s="241">
        <v>302.5</v>
      </c>
      <c r="H82" s="249">
        <f>G82*10%+G82</f>
        <v>332.75</v>
      </c>
      <c r="I82" s="141">
        <v>366.02500000000003</v>
      </c>
      <c r="J82" s="141">
        <v>402.62750000000005</v>
      </c>
      <c r="K82" s="141">
        <v>402.62750000000005</v>
      </c>
    </row>
    <row r="83" spans="1:11" hidden="1">
      <c r="A83" s="129"/>
      <c r="B83" s="130"/>
      <c r="C83" s="27"/>
      <c r="D83" s="27"/>
      <c r="E83" s="52"/>
      <c r="F83" s="53"/>
      <c r="G83" s="242"/>
      <c r="H83" s="250"/>
      <c r="I83" s="54"/>
      <c r="J83" s="54"/>
      <c r="K83" s="54"/>
    </row>
    <row r="84" spans="1:11" hidden="1">
      <c r="A84" s="118" t="s">
        <v>104</v>
      </c>
      <c r="B84" s="119" t="s">
        <v>105</v>
      </c>
      <c r="C84" s="37" t="s">
        <v>106</v>
      </c>
      <c r="D84" s="37"/>
      <c r="E84" s="39">
        <v>200</v>
      </c>
      <c r="F84" s="140">
        <v>220.00000000000003</v>
      </c>
      <c r="G84" s="241">
        <v>242.00000000000006</v>
      </c>
      <c r="H84" s="249">
        <f>G84*10%+G84</f>
        <v>266.20000000000005</v>
      </c>
      <c r="I84" s="141">
        <v>292.82000000000016</v>
      </c>
      <c r="J84" s="141">
        <v>322.1020000000002</v>
      </c>
      <c r="K84" s="141">
        <v>322.1020000000002</v>
      </c>
    </row>
    <row r="85" spans="1:11" hidden="1">
      <c r="A85" s="129"/>
      <c r="B85" s="130" t="s">
        <v>107</v>
      </c>
      <c r="C85" s="27"/>
      <c r="D85" s="27"/>
      <c r="E85" s="52"/>
      <c r="F85" s="53"/>
      <c r="G85" s="242"/>
      <c r="H85" s="250"/>
      <c r="I85" s="54"/>
      <c r="J85" s="54"/>
      <c r="K85" s="54"/>
    </row>
    <row r="86" spans="1:11" hidden="1">
      <c r="A86" s="118" t="s">
        <v>108</v>
      </c>
      <c r="B86" s="119" t="s">
        <v>109</v>
      </c>
      <c r="C86" s="37" t="s">
        <v>110</v>
      </c>
      <c r="D86" s="37"/>
      <c r="E86" s="39">
        <v>200</v>
      </c>
      <c r="F86" s="140">
        <v>220.00000000000003</v>
      </c>
      <c r="G86" s="241">
        <v>242.00000000000006</v>
      </c>
      <c r="H86" s="249">
        <f>G86*10%+G86</f>
        <v>266.20000000000005</v>
      </c>
      <c r="I86" s="141">
        <v>292.82000000000016</v>
      </c>
      <c r="J86" s="141">
        <v>322.1020000000002</v>
      </c>
      <c r="K86" s="141">
        <v>322.1020000000002</v>
      </c>
    </row>
    <row r="87" spans="1:11" hidden="1">
      <c r="A87" s="123"/>
      <c r="B87" s="124" t="s">
        <v>111</v>
      </c>
      <c r="E87" s="143"/>
      <c r="F87" s="57"/>
      <c r="G87" s="243"/>
      <c r="H87" s="251"/>
      <c r="I87" s="144"/>
      <c r="J87" s="144"/>
      <c r="K87" s="144"/>
    </row>
    <row r="88" spans="1:11" ht="15" hidden="1" thickBot="1">
      <c r="A88" s="145"/>
      <c r="B88" s="146" t="s">
        <v>112</v>
      </c>
      <c r="C88" s="74"/>
      <c r="D88" s="74"/>
      <c r="E88" s="147"/>
      <c r="F88" s="56"/>
      <c r="G88" s="244"/>
      <c r="H88" s="252"/>
      <c r="I88" s="51"/>
      <c r="J88" s="51"/>
      <c r="K88" s="51"/>
    </row>
    <row r="89" spans="1:11" hidden="1">
      <c r="B89" s="61" t="s">
        <v>29</v>
      </c>
    </row>
    <row r="90" spans="1:11" hidden="1"/>
    <row r="91" spans="1:11" ht="15" hidden="1" thickBot="1"/>
    <row r="92" spans="1:11" ht="31" hidden="1" thickBot="1">
      <c r="A92" s="3"/>
      <c r="B92" s="9"/>
      <c r="C92" s="10"/>
      <c r="D92" s="11"/>
      <c r="E92" s="12" t="s">
        <v>3</v>
      </c>
      <c r="F92" s="12" t="s">
        <v>4</v>
      </c>
      <c r="G92" s="12" t="s">
        <v>5</v>
      </c>
      <c r="H92" s="12" t="s">
        <v>32</v>
      </c>
      <c r="I92" s="12" t="s">
        <v>7</v>
      </c>
      <c r="J92" s="12" t="s">
        <v>8</v>
      </c>
      <c r="K92" s="12" t="s">
        <v>8</v>
      </c>
    </row>
    <row r="93" spans="1:11" s="283" customFormat="1" ht="17" hidden="1" thickBot="1">
      <c r="A93" s="282"/>
      <c r="B93" s="948" t="s">
        <v>113</v>
      </c>
      <c r="C93" s="949"/>
      <c r="D93" s="950"/>
      <c r="E93" s="951" t="s">
        <v>113</v>
      </c>
      <c r="F93" s="952"/>
      <c r="G93" s="952"/>
      <c r="H93" s="952"/>
      <c r="I93" s="952"/>
      <c r="J93" s="952"/>
    </row>
    <row r="94" spans="1:11" s="149" customFormat="1" ht="15" hidden="1" thickBot="1">
      <c r="C94" s="150"/>
      <c r="D94" s="151"/>
      <c r="E94" s="152"/>
      <c r="F94" s="152"/>
      <c r="G94" s="152"/>
      <c r="H94" s="151"/>
      <c r="I94" s="151"/>
      <c r="J94" s="151"/>
      <c r="K94" s="151"/>
    </row>
    <row r="95" spans="1:11" s="149" customFormat="1" ht="31" hidden="1" thickBot="1">
      <c r="A95" s="153"/>
      <c r="B95" s="9" t="s">
        <v>2</v>
      </c>
      <c r="C95" s="10"/>
      <c r="D95" s="11"/>
      <c r="E95" s="64" t="s">
        <v>3</v>
      </c>
      <c r="F95" s="64" t="s">
        <v>4</v>
      </c>
      <c r="G95" s="64" t="s">
        <v>5</v>
      </c>
      <c r="H95" s="64" t="s">
        <v>6</v>
      </c>
      <c r="I95" s="64" t="s">
        <v>7</v>
      </c>
      <c r="J95" s="64" t="s">
        <v>8</v>
      </c>
      <c r="K95" s="64" t="s">
        <v>8</v>
      </c>
    </row>
    <row r="96" spans="1:11" s="149" customFormat="1" ht="16" hidden="1" thickBot="1">
      <c r="A96" s="154"/>
      <c r="B96" s="155"/>
      <c r="C96" s="156" t="s">
        <v>114</v>
      </c>
      <c r="D96" s="157" t="s">
        <v>115</v>
      </c>
      <c r="E96" s="158">
        <v>53.5</v>
      </c>
      <c r="F96" s="159">
        <v>53.5</v>
      </c>
      <c r="G96" s="159">
        <v>58.85</v>
      </c>
      <c r="H96" s="160">
        <f>G96*11.94%+G96</f>
        <v>65.876689999999996</v>
      </c>
      <c r="I96" s="160">
        <f>H96*11.94%+H96</f>
        <v>73.742366785999991</v>
      </c>
      <c r="J96" s="160">
        <f>I96*11.94%+I96</f>
        <v>82.547205380248386</v>
      </c>
      <c r="K96" s="160">
        <f>J96*11.94%+J96</f>
        <v>92.403341702650039</v>
      </c>
    </row>
    <row r="97" spans="1:11" ht="16" hidden="1" thickBot="1">
      <c r="A97" s="192"/>
      <c r="B97" s="302" t="s">
        <v>116</v>
      </c>
      <c r="C97" s="302" t="s">
        <v>117</v>
      </c>
      <c r="D97" s="302"/>
      <c r="E97" s="302"/>
      <c r="F97" s="304">
        <f t="shared" ref="F97:K97" si="2">+F96/2</f>
        <v>26.75</v>
      </c>
      <c r="G97" s="305">
        <f t="shared" si="2"/>
        <v>29.425000000000001</v>
      </c>
      <c r="H97" s="306">
        <f t="shared" si="2"/>
        <v>32.938344999999998</v>
      </c>
      <c r="I97" s="306">
        <f t="shared" si="2"/>
        <v>36.871183392999995</v>
      </c>
      <c r="J97" s="306">
        <f t="shared" si="2"/>
        <v>41.273602690124193</v>
      </c>
      <c r="K97" s="306">
        <f t="shared" si="2"/>
        <v>46.201670851325019</v>
      </c>
    </row>
    <row r="98" spans="1:11" s="149" customFormat="1" ht="16" hidden="1" thickBot="1">
      <c r="A98" s="154"/>
      <c r="B98" s="162"/>
      <c r="C98" s="163" t="s">
        <v>118</v>
      </c>
      <c r="D98" s="157"/>
      <c r="E98" s="164"/>
      <c r="F98" s="164"/>
      <c r="G98" s="159"/>
      <c r="H98" s="165"/>
      <c r="I98" s="165"/>
      <c r="J98" s="165"/>
      <c r="K98" s="165"/>
    </row>
    <row r="99" spans="1:11" s="149" customFormat="1" ht="31" hidden="1" thickBot="1">
      <c r="A99" s="154"/>
      <c r="B99" s="166">
        <v>2.1</v>
      </c>
      <c r="C99" s="156" t="s">
        <v>119</v>
      </c>
      <c r="D99" s="157" t="s">
        <v>120</v>
      </c>
      <c r="E99" s="164">
        <v>2.13</v>
      </c>
      <c r="F99" s="164">
        <v>2.2799999999999998</v>
      </c>
      <c r="G99" s="159">
        <v>2.508</v>
      </c>
      <c r="H99" s="160">
        <f>G99*11.62%+G99</f>
        <v>2.7994295999999999</v>
      </c>
      <c r="I99" s="160">
        <f>H99*11.62%+H99</f>
        <v>3.1247233195199997</v>
      </c>
      <c r="J99" s="160">
        <f>I99*11.62%+I99</f>
        <v>3.4878161692482239</v>
      </c>
      <c r="K99" s="160">
        <f>J99*11.62%+J99</f>
        <v>3.8931004081148677</v>
      </c>
    </row>
    <row r="100" spans="1:11" s="149" customFormat="1" ht="31" hidden="1" thickBot="1">
      <c r="A100" s="154"/>
      <c r="B100" s="166">
        <v>2.2000000000000002</v>
      </c>
      <c r="C100" s="156" t="s">
        <v>121</v>
      </c>
      <c r="D100" s="157" t="s">
        <v>120</v>
      </c>
      <c r="E100" s="164">
        <v>2.75</v>
      </c>
      <c r="F100" s="164">
        <v>2.95</v>
      </c>
      <c r="G100" s="159">
        <v>3.2450000000000006</v>
      </c>
      <c r="H100" s="160">
        <f>G100*11.44%+G100</f>
        <v>3.6162280000000004</v>
      </c>
      <c r="I100" s="160">
        <f>H100*11.44%+H100</f>
        <v>4.0299244832000003</v>
      </c>
      <c r="J100" s="160">
        <f>I100*11.44%+I100</f>
        <v>4.4909478440780806</v>
      </c>
      <c r="K100" s="160">
        <f>J100*11.44%+J100</f>
        <v>5.0047122774406132</v>
      </c>
    </row>
    <row r="101" spans="1:11" s="149" customFormat="1" ht="16" hidden="1" thickBot="1">
      <c r="A101" s="154"/>
      <c r="B101" s="166">
        <v>2.2999999999999998</v>
      </c>
      <c r="C101" s="156" t="s">
        <v>122</v>
      </c>
      <c r="D101" s="157" t="s">
        <v>120</v>
      </c>
      <c r="E101" s="164">
        <v>3.16</v>
      </c>
      <c r="F101" s="164">
        <v>3.38</v>
      </c>
      <c r="G101" s="159">
        <v>3.718</v>
      </c>
      <c r="H101" s="160">
        <f>G101*11.6%+G101</f>
        <v>4.1492880000000003</v>
      </c>
      <c r="I101" s="160">
        <f>H101*11.6%+H101</f>
        <v>4.6306054080000001</v>
      </c>
      <c r="J101" s="160">
        <f>I101*11.6%+I101</f>
        <v>5.1677556353279996</v>
      </c>
      <c r="K101" s="160">
        <f>J101*11.6%+J101</f>
        <v>5.7672152890260477</v>
      </c>
    </row>
    <row r="102" spans="1:11" s="149" customFormat="1" ht="16" hidden="1" thickBot="1">
      <c r="A102" s="154"/>
      <c r="B102" s="166">
        <v>2.4</v>
      </c>
      <c r="C102" s="156" t="s">
        <v>123</v>
      </c>
      <c r="D102" s="157" t="s">
        <v>120</v>
      </c>
      <c r="E102" s="164">
        <v>3.6</v>
      </c>
      <c r="F102" s="164">
        <v>3.85</v>
      </c>
      <c r="G102" s="159">
        <v>4.2350000000000003</v>
      </c>
      <c r="H102" s="160">
        <f>G102*11.52%+G102</f>
        <v>4.7228720000000006</v>
      </c>
      <c r="I102" s="160">
        <f>H102*11.52%+H102</f>
        <v>5.2669468544000004</v>
      </c>
      <c r="J102" s="160">
        <f>I102*11.52%+I102</f>
        <v>5.8736991320268803</v>
      </c>
      <c r="K102" s="160">
        <f>J102*11.52%+J102</f>
        <v>6.5503492720363772</v>
      </c>
    </row>
    <row r="103" spans="1:11" s="149" customFormat="1" ht="16" hidden="1" thickBot="1">
      <c r="A103" s="153"/>
      <c r="B103" s="166">
        <v>2.5</v>
      </c>
      <c r="C103" s="156" t="s">
        <v>124</v>
      </c>
      <c r="D103" s="157" t="s">
        <v>120</v>
      </c>
      <c r="E103" s="164">
        <v>4.0199999999999996</v>
      </c>
      <c r="F103" s="164">
        <v>4.3</v>
      </c>
      <c r="G103" s="159">
        <v>4.7300000000000004</v>
      </c>
      <c r="H103" s="160">
        <v>5.2030000000000012</v>
      </c>
      <c r="I103" s="161">
        <v>5.7233000000000018</v>
      </c>
      <c r="J103" s="161">
        <v>6.2956300000000027</v>
      </c>
      <c r="K103" s="161">
        <v>6.2956300000000027</v>
      </c>
    </row>
    <row r="104" spans="1:11" s="149" customFormat="1" ht="16" hidden="1" thickBot="1">
      <c r="A104" s="153"/>
      <c r="B104" s="166">
        <v>2.6</v>
      </c>
      <c r="C104" s="156" t="s">
        <v>125</v>
      </c>
      <c r="D104" s="157" t="s">
        <v>120</v>
      </c>
      <c r="E104" s="164">
        <v>4</v>
      </c>
      <c r="F104" s="164">
        <v>4.28</v>
      </c>
      <c r="G104" s="159">
        <v>4.7080000000000011</v>
      </c>
      <c r="H104" s="160">
        <v>5.1788000000000016</v>
      </c>
      <c r="I104" s="161">
        <v>5.6966800000000024</v>
      </c>
      <c r="J104" s="161">
        <v>6.2663480000000034</v>
      </c>
      <c r="K104" s="161">
        <v>6.2663480000000034</v>
      </c>
    </row>
    <row r="105" spans="1:11" s="149" customFormat="1" ht="31" hidden="1" thickBot="1">
      <c r="A105" s="153"/>
      <c r="B105" s="166">
        <v>2.7</v>
      </c>
      <c r="C105" s="156" t="s">
        <v>126</v>
      </c>
      <c r="D105" s="157" t="s">
        <v>120</v>
      </c>
      <c r="E105" s="164">
        <v>4.2699999999999996</v>
      </c>
      <c r="F105" s="164">
        <v>4.57</v>
      </c>
      <c r="G105" s="159">
        <v>5.027000000000001</v>
      </c>
      <c r="H105" s="160">
        <v>5.5297000000000018</v>
      </c>
      <c r="I105" s="161">
        <v>6.0826700000000029</v>
      </c>
      <c r="J105" s="161">
        <v>6.6909370000000035</v>
      </c>
      <c r="K105" s="161">
        <v>6.6909370000000035</v>
      </c>
    </row>
    <row r="106" spans="1:11" s="149" customFormat="1" ht="31" hidden="1" thickBot="1">
      <c r="A106" s="153"/>
      <c r="B106" s="166">
        <v>2.8</v>
      </c>
      <c r="C106" s="156" t="s">
        <v>127</v>
      </c>
      <c r="D106" s="157" t="s">
        <v>115</v>
      </c>
      <c r="E106" s="164">
        <v>24.53</v>
      </c>
      <c r="F106" s="164">
        <v>26.24</v>
      </c>
      <c r="G106" s="159">
        <v>28.864000000000001</v>
      </c>
      <c r="H106" s="160">
        <v>31.750400000000003</v>
      </c>
      <c r="I106" s="160">
        <v>32.750399999999999</v>
      </c>
      <c r="J106" s="160">
        <v>33.750399999999999</v>
      </c>
      <c r="K106" s="160">
        <v>33.750399999999999</v>
      </c>
    </row>
    <row r="107" spans="1:11" s="149" customFormat="1" ht="31" hidden="1" thickBot="1">
      <c r="A107" s="153"/>
      <c r="B107" s="166">
        <v>2.9</v>
      </c>
      <c r="C107" s="156" t="s">
        <v>128</v>
      </c>
      <c r="D107" s="157" t="s">
        <v>120</v>
      </c>
      <c r="E107" s="164">
        <v>2.4500000000000002</v>
      </c>
      <c r="F107" s="164">
        <v>2.62</v>
      </c>
      <c r="G107" s="159">
        <v>2.8820000000000006</v>
      </c>
      <c r="H107" s="160">
        <f>G107*11.72%+G107</f>
        <v>3.2197704000000007</v>
      </c>
      <c r="I107" s="160">
        <f>H107*11.72%+H107</f>
        <v>3.5971274908800011</v>
      </c>
      <c r="J107" s="160">
        <f>I107*11.72%+I107</f>
        <v>4.0187108328111369</v>
      </c>
      <c r="K107" s="160">
        <f>J107*11.72%+J107</f>
        <v>4.4897037424166024</v>
      </c>
    </row>
    <row r="108" spans="1:11" s="149" customFormat="1" ht="16" hidden="1" thickBot="1">
      <c r="A108" s="153"/>
      <c r="B108" s="167" t="s">
        <v>129</v>
      </c>
      <c r="C108" s="156" t="s">
        <v>130</v>
      </c>
      <c r="D108" s="157" t="s">
        <v>120</v>
      </c>
      <c r="E108" s="164">
        <v>3.06</v>
      </c>
      <c r="F108" s="164">
        <v>3.27</v>
      </c>
      <c r="G108" s="159">
        <v>3.5970000000000004</v>
      </c>
      <c r="H108" s="159">
        <f>G108*11.64%+G108</f>
        <v>4.0156908000000007</v>
      </c>
      <c r="I108" s="159">
        <f>H108*11.64%+H108</f>
        <v>4.4831172091200004</v>
      </c>
      <c r="J108" s="159">
        <f>I108*11.64%+I108</f>
        <v>5.0049520522615687</v>
      </c>
      <c r="K108" s="159">
        <f>J108*11.64%+J108</f>
        <v>5.5875284711448154</v>
      </c>
    </row>
    <row r="109" spans="1:11" s="149" customFormat="1" ht="31" hidden="1" thickBot="1">
      <c r="A109" s="153"/>
      <c r="B109" s="166">
        <v>2.11</v>
      </c>
      <c r="C109" s="156" t="s">
        <v>131</v>
      </c>
      <c r="D109" s="157" t="s">
        <v>120</v>
      </c>
      <c r="E109" s="164">
        <v>3.84</v>
      </c>
      <c r="F109" s="164">
        <v>4.0999999999999996</v>
      </c>
      <c r="G109" s="159">
        <v>4.51</v>
      </c>
      <c r="H109" s="159">
        <f>G109*11.78%+G109</f>
        <v>5.0412780000000001</v>
      </c>
      <c r="I109" s="159">
        <f>H109*11.78%+H109</f>
        <v>5.6351405483999999</v>
      </c>
      <c r="J109" s="159">
        <f>I109*11.78%+I109</f>
        <v>6.2989601050015196</v>
      </c>
      <c r="K109" s="159">
        <f>J109*11.78%+J109</f>
        <v>7.0409776053706983</v>
      </c>
    </row>
    <row r="110" spans="1:11" s="149" customFormat="1" ht="31" hidden="1" thickBot="1">
      <c r="A110" s="153"/>
      <c r="B110" s="166">
        <v>2.12</v>
      </c>
      <c r="C110" s="156" t="s">
        <v>132</v>
      </c>
      <c r="D110" s="157" t="s">
        <v>115</v>
      </c>
      <c r="E110" s="164">
        <v>50.5</v>
      </c>
      <c r="F110" s="164">
        <v>54.03</v>
      </c>
      <c r="G110" s="159">
        <v>59.433000000000007</v>
      </c>
      <c r="H110" s="159">
        <v>65.376300000000015</v>
      </c>
      <c r="I110" s="159">
        <v>66.376300000000001</v>
      </c>
      <c r="J110" s="159">
        <v>67.376300000000001</v>
      </c>
      <c r="K110" s="159">
        <v>67.376300000000001</v>
      </c>
    </row>
    <row r="111" spans="1:11" s="149" customFormat="1" ht="31" hidden="1" thickBot="1">
      <c r="A111" s="153"/>
      <c r="B111" s="166">
        <v>2.13</v>
      </c>
      <c r="C111" s="156" t="s">
        <v>133</v>
      </c>
      <c r="D111" s="157" t="s">
        <v>115</v>
      </c>
      <c r="E111" s="164">
        <v>66.36</v>
      </c>
      <c r="F111" s="164">
        <v>71</v>
      </c>
      <c r="G111" s="159">
        <v>78.100000000000009</v>
      </c>
      <c r="H111" s="159">
        <f>G111*11.52%+G111</f>
        <v>87.097120000000004</v>
      </c>
      <c r="I111" s="159">
        <f>H111*11.52%+H111</f>
        <v>97.130708224000003</v>
      </c>
      <c r="J111" s="159">
        <f>I111*11.52%+I111</f>
        <v>108.32016581140481</v>
      </c>
      <c r="K111" s="159">
        <f>J111*11.52%+J111</f>
        <v>120.79864891287863</v>
      </c>
    </row>
    <row r="112" spans="1:11" s="149" customFormat="1" ht="16" hidden="1" thickBot="1">
      <c r="A112" s="153"/>
      <c r="B112" s="155"/>
      <c r="C112" s="163" t="s">
        <v>134</v>
      </c>
      <c r="D112" s="157"/>
      <c r="E112" s="164"/>
      <c r="F112" s="164"/>
      <c r="G112" s="159"/>
      <c r="H112" s="159"/>
      <c r="I112" s="159"/>
      <c r="J112" s="159"/>
      <c r="K112" s="159"/>
    </row>
    <row r="113" spans="1:11" s="149" customFormat="1" ht="16" hidden="1" thickBot="1">
      <c r="A113" s="154"/>
      <c r="B113" s="155">
        <v>2.14</v>
      </c>
      <c r="C113" s="156" t="s">
        <v>135</v>
      </c>
      <c r="D113" s="157" t="s">
        <v>115</v>
      </c>
      <c r="E113" s="164">
        <v>44.85</v>
      </c>
      <c r="F113" s="164">
        <v>48</v>
      </c>
      <c r="G113" s="159">
        <v>52.800000000000004</v>
      </c>
      <c r="H113" s="159">
        <f>G113*11.56%+G113</f>
        <v>58.903680000000008</v>
      </c>
      <c r="I113" s="159">
        <f t="shared" ref="I113:K116" si="3">H113*11.56%+H113</f>
        <v>65.71294540800001</v>
      </c>
      <c r="J113" s="159">
        <f t="shared" si="3"/>
        <v>73.309361897164806</v>
      </c>
      <c r="K113" s="159">
        <f t="shared" si="3"/>
        <v>81.783924132477054</v>
      </c>
    </row>
    <row r="114" spans="1:11" s="149" customFormat="1" ht="16" hidden="1" thickBot="1">
      <c r="A114" s="154"/>
      <c r="B114" s="155">
        <v>2.15</v>
      </c>
      <c r="C114" s="156" t="s">
        <v>136</v>
      </c>
      <c r="D114" s="157" t="s">
        <v>115</v>
      </c>
      <c r="E114" s="164">
        <v>44.85</v>
      </c>
      <c r="F114" s="164">
        <v>48</v>
      </c>
      <c r="G114" s="159">
        <v>52.800000000000004</v>
      </c>
      <c r="H114" s="159">
        <f>G114*11.56%+G114</f>
        <v>58.903680000000008</v>
      </c>
      <c r="I114" s="159">
        <f t="shared" si="3"/>
        <v>65.71294540800001</v>
      </c>
      <c r="J114" s="159">
        <f t="shared" si="3"/>
        <v>73.309361897164806</v>
      </c>
      <c r="K114" s="159">
        <f t="shared" si="3"/>
        <v>81.783924132477054</v>
      </c>
    </row>
    <row r="115" spans="1:11" s="149" customFormat="1" ht="31" hidden="1" thickBot="1">
      <c r="A115" s="154"/>
      <c r="B115" s="155">
        <v>2.16</v>
      </c>
      <c r="C115" s="156" t="s">
        <v>137</v>
      </c>
      <c r="D115" s="157" t="s">
        <v>115</v>
      </c>
      <c r="E115" s="164">
        <v>44.85</v>
      </c>
      <c r="F115" s="164">
        <v>48</v>
      </c>
      <c r="G115" s="159">
        <v>52.800000000000004</v>
      </c>
      <c r="H115" s="159">
        <f>G115*11.56%+G115</f>
        <v>58.903680000000008</v>
      </c>
      <c r="I115" s="159">
        <f t="shared" si="3"/>
        <v>65.71294540800001</v>
      </c>
      <c r="J115" s="159">
        <f t="shared" si="3"/>
        <v>73.309361897164806</v>
      </c>
      <c r="K115" s="159">
        <f t="shared" si="3"/>
        <v>81.783924132477054</v>
      </c>
    </row>
    <row r="116" spans="1:11" s="149" customFormat="1" ht="16" hidden="1" thickBot="1">
      <c r="A116" s="154"/>
      <c r="B116" s="155">
        <v>2.17</v>
      </c>
      <c r="C116" s="156" t="s">
        <v>138</v>
      </c>
      <c r="D116" s="157" t="s">
        <v>115</v>
      </c>
      <c r="E116" s="164">
        <v>44.85</v>
      </c>
      <c r="F116" s="164">
        <v>48</v>
      </c>
      <c r="G116" s="159">
        <v>52.800000000000004</v>
      </c>
      <c r="H116" s="159">
        <f>G116*11.56%+G116</f>
        <v>58.903680000000008</v>
      </c>
      <c r="I116" s="159">
        <f t="shared" si="3"/>
        <v>65.71294540800001</v>
      </c>
      <c r="J116" s="159">
        <f t="shared" si="3"/>
        <v>73.309361897164806</v>
      </c>
      <c r="K116" s="159">
        <f t="shared" si="3"/>
        <v>81.783924132477054</v>
      </c>
    </row>
    <row r="117" spans="1:11" s="149" customFormat="1" ht="15" hidden="1" thickBot="1">
      <c r="A117" s="153"/>
      <c r="B117" s="168" t="s">
        <v>139</v>
      </c>
      <c r="C117" s="150"/>
      <c r="D117" s="151"/>
      <c r="E117" s="152"/>
      <c r="F117" s="152"/>
      <c r="G117" s="152"/>
      <c r="H117" s="151"/>
      <c r="I117" s="151"/>
      <c r="J117" s="151"/>
      <c r="K117" s="151"/>
    </row>
    <row r="118" spans="1:11" s="149" customFormat="1" ht="76" hidden="1" thickBot="1">
      <c r="A118" s="153"/>
      <c r="B118" s="162">
        <v>2.1800000000000002</v>
      </c>
      <c r="C118" s="156" t="s">
        <v>140</v>
      </c>
      <c r="D118" s="165"/>
      <c r="E118" s="169">
        <v>1</v>
      </c>
      <c r="F118" s="170">
        <v>1</v>
      </c>
      <c r="G118" s="170">
        <v>1</v>
      </c>
      <c r="H118" s="170">
        <v>1</v>
      </c>
      <c r="I118" s="170">
        <v>1</v>
      </c>
      <c r="J118" s="170">
        <v>1.1000000000000001</v>
      </c>
      <c r="K118" s="170">
        <v>1.1000000000000001</v>
      </c>
    </row>
    <row r="119" spans="1:11" hidden="1"/>
    <row r="120" spans="1:11" s="149" customFormat="1" hidden="1">
      <c r="A120" s="153"/>
      <c r="B120" s="61" t="s">
        <v>29</v>
      </c>
      <c r="C120" s="171"/>
      <c r="D120" s="172"/>
      <c r="E120" s="173"/>
      <c r="F120" s="173"/>
      <c r="G120" s="174"/>
      <c r="H120" s="175"/>
      <c r="I120" s="175"/>
      <c r="J120" s="175"/>
      <c r="K120" s="175"/>
    </row>
    <row r="121" spans="1:11" s="149" customFormat="1" ht="15" hidden="1" thickBot="1">
      <c r="A121" s="153"/>
      <c r="B121" s="176"/>
      <c r="C121" s="150"/>
      <c r="D121" s="151"/>
      <c r="E121" s="152"/>
      <c r="F121" s="152"/>
      <c r="G121" s="152"/>
      <c r="H121" s="151"/>
      <c r="I121" s="151"/>
      <c r="J121" s="151"/>
      <c r="K121" s="151"/>
    </row>
    <row r="122" spans="1:11" ht="31" hidden="1" thickBot="1">
      <c r="A122" s="3"/>
      <c r="B122" s="177" t="s">
        <v>141</v>
      </c>
      <c r="C122" s="10"/>
      <c r="D122" s="11"/>
      <c r="E122" s="12" t="s">
        <v>3</v>
      </c>
      <c r="F122" s="12" t="s">
        <v>4</v>
      </c>
      <c r="G122" s="12" t="s">
        <v>5</v>
      </c>
      <c r="H122" s="12" t="s">
        <v>32</v>
      </c>
      <c r="I122" s="12" t="s">
        <v>7</v>
      </c>
      <c r="J122" s="12" t="s">
        <v>8</v>
      </c>
      <c r="K122" s="12" t="s">
        <v>8</v>
      </c>
    </row>
    <row r="123" spans="1:11" ht="16.5" hidden="1" customHeight="1" thickBot="1">
      <c r="A123" s="3"/>
      <c r="B123" s="981" t="s">
        <v>113</v>
      </c>
      <c r="C123" s="982"/>
      <c r="D123" s="983"/>
      <c r="E123" s="984" t="s">
        <v>113</v>
      </c>
      <c r="F123" s="985"/>
      <c r="G123" s="985"/>
      <c r="H123" s="985"/>
      <c r="I123" s="985"/>
      <c r="J123" s="985"/>
      <c r="K123" s="13"/>
    </row>
    <row r="124" spans="1:11" s="149" customFormat="1" ht="15" hidden="1" thickBot="1">
      <c r="A124" s="153"/>
      <c r="C124" s="150"/>
      <c r="D124" s="151"/>
      <c r="E124" s="152"/>
      <c r="F124" s="152"/>
      <c r="G124" s="152"/>
      <c r="H124" s="151"/>
      <c r="I124" s="151"/>
      <c r="J124" s="151"/>
      <c r="K124" s="151"/>
    </row>
    <row r="125" spans="1:11" s="149" customFormat="1" ht="31" hidden="1" thickBot="1">
      <c r="A125" s="153"/>
      <c r="B125" s="178">
        <v>3.1</v>
      </c>
      <c r="C125" s="179" t="s">
        <v>142</v>
      </c>
      <c r="D125" s="165"/>
      <c r="E125" s="984" t="s">
        <v>143</v>
      </c>
      <c r="F125" s="985"/>
      <c r="G125" s="985"/>
      <c r="H125" s="985"/>
      <c r="I125" s="985"/>
      <c r="J125" s="985"/>
    </row>
    <row r="126" spans="1:11" s="149" customFormat="1" ht="61" hidden="1" thickBot="1">
      <c r="A126" s="168"/>
      <c r="B126" s="178" t="s">
        <v>144</v>
      </c>
      <c r="C126" s="155" t="s">
        <v>145</v>
      </c>
      <c r="D126" s="165"/>
      <c r="E126" s="180"/>
      <c r="F126" s="180"/>
      <c r="G126" s="181"/>
      <c r="H126" s="165"/>
      <c r="I126" s="165"/>
      <c r="J126" s="165"/>
      <c r="K126" s="165"/>
    </row>
    <row r="127" spans="1:11" s="149" customFormat="1" ht="16" hidden="1" thickBot="1">
      <c r="A127" s="154"/>
      <c r="B127" s="182" t="s">
        <v>146</v>
      </c>
      <c r="C127" s="183" t="s">
        <v>147</v>
      </c>
      <c r="D127" s="184"/>
      <c r="E127" s="185">
        <v>57.2</v>
      </c>
      <c r="F127" s="185">
        <v>61.2</v>
      </c>
      <c r="G127" s="186">
        <v>67.320000000000007</v>
      </c>
      <c r="H127" s="161">
        <v>74.052000000000021</v>
      </c>
      <c r="I127" s="161">
        <v>81.457200000000029</v>
      </c>
      <c r="J127" s="161">
        <v>89.60292000000004</v>
      </c>
      <c r="K127" s="161">
        <v>89.60292000000004</v>
      </c>
    </row>
    <row r="128" spans="1:11" s="149" customFormat="1" ht="31" hidden="1" thickBot="1">
      <c r="A128" s="154"/>
      <c r="B128" s="182" t="s">
        <v>148</v>
      </c>
      <c r="C128" s="183" t="s">
        <v>149</v>
      </c>
      <c r="D128" s="184"/>
      <c r="E128" s="187"/>
      <c r="F128" s="187"/>
      <c r="G128" s="188"/>
      <c r="H128" s="165"/>
      <c r="I128" s="165"/>
      <c r="J128" s="165"/>
      <c r="K128" s="165"/>
    </row>
    <row r="129" spans="1:11" s="149" customFormat="1" ht="16" hidden="1" thickBot="1">
      <c r="A129" s="154"/>
      <c r="B129" s="155" t="s">
        <v>150</v>
      </c>
      <c r="C129" s="156" t="s">
        <v>151</v>
      </c>
      <c r="D129" s="189"/>
      <c r="E129" s="185">
        <v>2231</v>
      </c>
      <c r="F129" s="185">
        <v>2387.17</v>
      </c>
      <c r="G129" s="186">
        <v>2625.8870000000002</v>
      </c>
      <c r="H129" s="161">
        <v>2888.4757000000004</v>
      </c>
      <c r="I129" s="161">
        <v>3177.3232700000008</v>
      </c>
      <c r="J129" s="161">
        <v>3495.0555970000009</v>
      </c>
      <c r="K129" s="161">
        <v>3495.0555970000009</v>
      </c>
    </row>
    <row r="130" spans="1:11" s="149" customFormat="1" ht="31" hidden="1" thickBot="1">
      <c r="A130" s="154"/>
      <c r="B130" s="155" t="s">
        <v>152</v>
      </c>
      <c r="C130" s="156" t="s">
        <v>153</v>
      </c>
      <c r="D130" s="189"/>
      <c r="E130" s="187"/>
      <c r="F130" s="187"/>
      <c r="G130" s="188"/>
      <c r="H130" s="165"/>
      <c r="I130" s="165"/>
      <c r="J130" s="165"/>
      <c r="K130" s="165"/>
    </row>
    <row r="131" spans="1:11" s="149" customFormat="1" ht="16" hidden="1" thickBot="1">
      <c r="A131" s="154"/>
      <c r="B131" s="155" t="s">
        <v>146</v>
      </c>
      <c r="C131" s="190" t="s">
        <v>154</v>
      </c>
      <c r="D131" s="189"/>
      <c r="E131" s="185">
        <v>126</v>
      </c>
      <c r="F131" s="185">
        <v>134.82</v>
      </c>
      <c r="G131" s="186">
        <v>148.30199999999999</v>
      </c>
      <c r="H131" s="161">
        <v>163.13220000000001</v>
      </c>
      <c r="I131" s="161">
        <v>179.44542000000004</v>
      </c>
      <c r="J131" s="161">
        <v>197.38996200000005</v>
      </c>
      <c r="K131" s="161">
        <v>197.38996200000005</v>
      </c>
    </row>
    <row r="132" spans="1:11" s="149" customFormat="1" ht="31" hidden="1" thickBot="1">
      <c r="A132" s="154"/>
      <c r="B132" s="155" t="s">
        <v>148</v>
      </c>
      <c r="C132" s="190" t="s">
        <v>155</v>
      </c>
      <c r="D132" s="189"/>
      <c r="E132" s="185">
        <v>60</v>
      </c>
      <c r="F132" s="185">
        <v>64.2</v>
      </c>
      <c r="G132" s="186">
        <v>70.62</v>
      </c>
      <c r="H132" s="161">
        <v>77.682000000000016</v>
      </c>
      <c r="I132" s="161">
        <v>85.450200000000024</v>
      </c>
      <c r="J132" s="161">
        <v>93.995220000000032</v>
      </c>
      <c r="K132" s="161">
        <v>93.995220000000032</v>
      </c>
    </row>
    <row r="133" spans="1:11" s="149" customFormat="1" ht="31" hidden="1" thickBot="1">
      <c r="A133" s="154"/>
      <c r="B133" s="155" t="s">
        <v>156</v>
      </c>
      <c r="C133" s="190" t="s">
        <v>157</v>
      </c>
      <c r="D133" s="189"/>
      <c r="E133" s="185">
        <v>45</v>
      </c>
      <c r="F133" s="185">
        <v>48.15</v>
      </c>
      <c r="G133" s="186">
        <v>52.965000000000003</v>
      </c>
      <c r="H133" s="161">
        <v>58.261500000000005</v>
      </c>
      <c r="I133" s="161">
        <v>64.087650000000011</v>
      </c>
      <c r="J133" s="161">
        <v>70.496415000000013</v>
      </c>
      <c r="K133" s="161">
        <v>70.496415000000013</v>
      </c>
    </row>
    <row r="134" spans="1:11" s="149" customFormat="1" ht="16" hidden="1" thickBot="1">
      <c r="A134" s="154"/>
      <c r="B134" s="155" t="s">
        <v>158</v>
      </c>
      <c r="C134" s="156" t="s">
        <v>159</v>
      </c>
      <c r="D134" s="189"/>
      <c r="E134" s="185">
        <v>65</v>
      </c>
      <c r="F134" s="185">
        <v>69.55</v>
      </c>
      <c r="G134" s="186">
        <v>76.50500000000001</v>
      </c>
      <c r="H134" s="161">
        <v>84.155500000000018</v>
      </c>
      <c r="I134" s="161">
        <v>92.571050000000028</v>
      </c>
      <c r="J134" s="161">
        <v>101.82815500000004</v>
      </c>
      <c r="K134" s="161">
        <v>101.82815500000004</v>
      </c>
    </row>
    <row r="135" spans="1:11" s="149" customFormat="1" ht="16" hidden="1" thickBot="1">
      <c r="A135" s="154"/>
      <c r="B135" s="182" t="s">
        <v>156</v>
      </c>
      <c r="C135" s="183" t="s">
        <v>160</v>
      </c>
      <c r="D135" s="184"/>
      <c r="E135" s="185">
        <v>250</v>
      </c>
      <c r="F135" s="185">
        <v>267.5</v>
      </c>
      <c r="G135" s="186">
        <v>294.25</v>
      </c>
      <c r="H135" s="161">
        <v>323.67500000000001</v>
      </c>
      <c r="I135" s="161">
        <v>356.04250000000002</v>
      </c>
      <c r="J135" s="161">
        <v>391.64675000000005</v>
      </c>
      <c r="K135" s="161">
        <v>391.64675000000005</v>
      </c>
    </row>
    <row r="136" spans="1:11" s="149" customFormat="1" ht="16" hidden="1" thickBot="1">
      <c r="A136" s="154"/>
      <c r="B136" s="182" t="s">
        <v>161</v>
      </c>
      <c r="C136" s="183" t="s">
        <v>162</v>
      </c>
      <c r="D136" s="184"/>
      <c r="E136" s="187"/>
      <c r="F136" s="187"/>
      <c r="G136" s="186"/>
      <c r="H136" s="161"/>
      <c r="I136" s="161"/>
      <c r="J136" s="161"/>
      <c r="K136" s="161"/>
    </row>
    <row r="137" spans="1:11" s="149" customFormat="1" ht="16" hidden="1" thickBot="1">
      <c r="A137" s="154"/>
      <c r="B137" s="155" t="s">
        <v>150</v>
      </c>
      <c r="C137" s="156" t="s">
        <v>163</v>
      </c>
      <c r="D137" s="189"/>
      <c r="E137" s="185">
        <v>122.1</v>
      </c>
      <c r="F137" s="185">
        <v>130.65</v>
      </c>
      <c r="G137" s="186">
        <v>143.71500000000003</v>
      </c>
      <c r="H137" s="161">
        <v>158.08650000000006</v>
      </c>
      <c r="I137" s="161">
        <v>173.89515000000009</v>
      </c>
      <c r="J137" s="161">
        <v>191.2846650000001</v>
      </c>
      <c r="K137" s="161">
        <v>191.2846650000001</v>
      </c>
    </row>
    <row r="138" spans="1:11" s="149" customFormat="1" ht="16" hidden="1" thickBot="1">
      <c r="A138" s="154"/>
      <c r="B138" s="155" t="s">
        <v>152</v>
      </c>
      <c r="C138" s="156" t="s">
        <v>164</v>
      </c>
      <c r="D138" s="189"/>
      <c r="E138" s="185">
        <v>57</v>
      </c>
      <c r="F138" s="185">
        <v>70</v>
      </c>
      <c r="G138" s="186">
        <v>77</v>
      </c>
      <c r="H138" s="161">
        <v>84.7</v>
      </c>
      <c r="I138" s="161">
        <v>93.170000000000016</v>
      </c>
      <c r="J138" s="161">
        <v>102.48700000000002</v>
      </c>
      <c r="K138" s="161">
        <v>102.48700000000002</v>
      </c>
    </row>
    <row r="139" spans="1:11" s="149" customFormat="1" ht="31" hidden="1" thickBot="1">
      <c r="A139" s="154"/>
      <c r="B139" s="155" t="s">
        <v>158</v>
      </c>
      <c r="C139" s="156" t="s">
        <v>165</v>
      </c>
      <c r="D139" s="189"/>
      <c r="E139" s="185">
        <v>43</v>
      </c>
      <c r="F139" s="185">
        <v>46</v>
      </c>
      <c r="G139" s="186">
        <v>50.6</v>
      </c>
      <c r="H139" s="161">
        <v>55.660000000000004</v>
      </c>
      <c r="I139" s="161">
        <v>61.226000000000006</v>
      </c>
      <c r="J139" s="161">
        <v>67.348600000000019</v>
      </c>
      <c r="K139" s="161">
        <v>67.348600000000019</v>
      </c>
    </row>
    <row r="140" spans="1:11" s="149" customFormat="1" ht="16" hidden="1" thickBot="1">
      <c r="A140" s="154"/>
      <c r="B140" s="182" t="s">
        <v>166</v>
      </c>
      <c r="C140" s="183" t="s">
        <v>167</v>
      </c>
      <c r="D140" s="184"/>
      <c r="E140" s="187"/>
      <c r="F140" s="187"/>
      <c r="G140" s="191"/>
      <c r="H140" s="165"/>
      <c r="I140" s="165"/>
      <c r="J140" s="165"/>
      <c r="K140" s="165"/>
    </row>
    <row r="141" spans="1:11" s="149" customFormat="1" ht="16" hidden="1" thickBot="1">
      <c r="A141" s="154"/>
      <c r="B141" s="155"/>
      <c r="C141" s="156" t="s">
        <v>168</v>
      </c>
      <c r="D141" s="189"/>
      <c r="E141" s="185">
        <v>6.6</v>
      </c>
      <c r="F141" s="185">
        <v>7.06</v>
      </c>
      <c r="G141" s="186">
        <v>7.766</v>
      </c>
      <c r="H141" s="161">
        <v>8.5426000000000002</v>
      </c>
      <c r="I141" s="161">
        <v>9.3968600000000002</v>
      </c>
      <c r="J141" s="161">
        <v>10.336546</v>
      </c>
      <c r="K141" s="161">
        <v>10.336546</v>
      </c>
    </row>
    <row r="142" spans="1:11" s="149" customFormat="1" ht="61" hidden="1" thickBot="1">
      <c r="A142" s="154"/>
      <c r="B142" s="155"/>
      <c r="C142" s="156" t="s">
        <v>169</v>
      </c>
      <c r="D142" s="189"/>
      <c r="E142" s="187"/>
      <c r="F142" s="187"/>
      <c r="G142" s="191"/>
      <c r="H142" s="165"/>
      <c r="I142" s="165"/>
      <c r="J142" s="165"/>
      <c r="K142" s="165"/>
    </row>
    <row r="143" spans="1:11" s="149" customFormat="1" ht="16" hidden="1" thickBot="1">
      <c r="A143" s="154"/>
      <c r="B143" s="182" t="s">
        <v>170</v>
      </c>
      <c r="C143" s="183" t="s">
        <v>171</v>
      </c>
      <c r="D143" s="184"/>
      <c r="E143" s="187"/>
      <c r="F143" s="187"/>
      <c r="G143" s="191"/>
      <c r="H143" s="165"/>
      <c r="I143" s="165"/>
      <c r="J143" s="165"/>
      <c r="K143" s="165"/>
    </row>
    <row r="144" spans="1:11" s="149" customFormat="1" ht="31" hidden="1" thickBot="1">
      <c r="A144" s="154"/>
      <c r="B144" s="182" t="s">
        <v>146</v>
      </c>
      <c r="C144" s="156" t="s">
        <v>172</v>
      </c>
      <c r="D144" s="189"/>
      <c r="E144" s="185">
        <v>420</v>
      </c>
      <c r="F144" s="185">
        <v>449.4</v>
      </c>
      <c r="G144" s="186">
        <v>494.34000000000003</v>
      </c>
      <c r="H144" s="161">
        <v>543.77400000000011</v>
      </c>
      <c r="I144" s="161">
        <v>598.15140000000019</v>
      </c>
      <c r="J144" s="161">
        <v>657.96654000000024</v>
      </c>
      <c r="K144" s="161">
        <v>657.96654000000024</v>
      </c>
    </row>
    <row r="145" spans="1:11" s="149" customFormat="1" ht="31" hidden="1" thickBot="1">
      <c r="A145" s="154"/>
      <c r="B145" s="182" t="s">
        <v>148</v>
      </c>
      <c r="C145" s="156" t="s">
        <v>173</v>
      </c>
      <c r="D145" s="189"/>
      <c r="E145" s="185">
        <v>630</v>
      </c>
      <c r="F145" s="185">
        <v>674.1</v>
      </c>
      <c r="G145" s="186">
        <v>741.5100000000001</v>
      </c>
      <c r="H145" s="161">
        <v>815.66100000000017</v>
      </c>
      <c r="I145" s="161">
        <v>897.22710000000029</v>
      </c>
      <c r="J145" s="161">
        <v>986.94981000000041</v>
      </c>
      <c r="K145" s="161">
        <v>986.94981000000041</v>
      </c>
    </row>
    <row r="146" spans="1:11" s="149" customFormat="1" ht="15" hidden="1" thickBot="1">
      <c r="A146" s="154"/>
      <c r="B146" s="155"/>
      <c r="C146" s="156"/>
      <c r="D146" s="189"/>
      <c r="E146" s="187"/>
      <c r="F146" s="187"/>
      <c r="G146" s="191"/>
      <c r="H146" s="165"/>
      <c r="I146" s="165"/>
      <c r="J146" s="165"/>
      <c r="K146" s="165"/>
    </row>
    <row r="147" spans="1:11" s="149" customFormat="1" ht="16" hidden="1" thickBot="1">
      <c r="A147" s="154"/>
      <c r="B147" s="182" t="s">
        <v>174</v>
      </c>
      <c r="C147" s="183" t="s">
        <v>175</v>
      </c>
      <c r="D147" s="184"/>
      <c r="E147" s="187"/>
      <c r="F147" s="187"/>
      <c r="G147" s="191"/>
      <c r="H147" s="165"/>
      <c r="I147" s="165"/>
      <c r="J147" s="165"/>
      <c r="K147" s="165"/>
    </row>
    <row r="148" spans="1:11" s="149" customFormat="1" ht="31" hidden="1" thickBot="1">
      <c r="A148" s="154"/>
      <c r="B148" s="155"/>
      <c r="C148" s="156" t="s">
        <v>176</v>
      </c>
      <c r="D148" s="189"/>
      <c r="E148" s="185">
        <v>105</v>
      </c>
      <c r="F148" s="185">
        <v>112.35</v>
      </c>
      <c r="G148" s="186">
        <v>123.58500000000001</v>
      </c>
      <c r="H148" s="161">
        <v>135.94350000000003</v>
      </c>
      <c r="I148" s="161">
        <v>149.53785000000005</v>
      </c>
      <c r="J148" s="161">
        <v>164.49163500000006</v>
      </c>
      <c r="K148" s="161">
        <v>164.49163500000006</v>
      </c>
    </row>
    <row r="149" spans="1:11" s="149" customFormat="1" ht="15" hidden="1" thickBot="1">
      <c r="A149" s="154"/>
      <c r="B149" s="155"/>
      <c r="C149" s="156"/>
      <c r="D149" s="189"/>
      <c r="E149" s="187"/>
      <c r="F149" s="187"/>
      <c r="G149" s="191"/>
      <c r="H149" s="165"/>
      <c r="I149" s="165"/>
      <c r="J149" s="165"/>
      <c r="K149" s="165"/>
    </row>
    <row r="150" spans="1:11" s="149" customFormat="1" ht="16" hidden="1" thickBot="1">
      <c r="A150" s="154"/>
      <c r="B150" s="182" t="s">
        <v>177</v>
      </c>
      <c r="C150" s="183" t="s">
        <v>178</v>
      </c>
      <c r="D150" s="184"/>
      <c r="E150" s="187"/>
      <c r="F150" s="187"/>
      <c r="G150" s="191"/>
      <c r="H150" s="165"/>
      <c r="I150" s="165"/>
      <c r="J150" s="165"/>
      <c r="K150" s="165"/>
    </row>
    <row r="151" spans="1:11" s="149" customFormat="1" ht="16" hidden="1" thickBot="1">
      <c r="A151" s="154"/>
      <c r="B151" s="155"/>
      <c r="C151" s="156" t="s">
        <v>179</v>
      </c>
      <c r="D151" s="189"/>
      <c r="E151" s="187"/>
      <c r="F151" s="187"/>
      <c r="G151" s="191"/>
      <c r="H151" s="165"/>
      <c r="I151" s="165"/>
      <c r="J151" s="165"/>
      <c r="K151" s="165"/>
    </row>
    <row r="152" spans="1:11" s="149" customFormat="1" ht="31" hidden="1" thickBot="1">
      <c r="A152" s="154"/>
      <c r="B152" s="182" t="s">
        <v>146</v>
      </c>
      <c r="C152" s="156" t="s">
        <v>180</v>
      </c>
      <c r="D152" s="189"/>
      <c r="E152" s="185">
        <v>265</v>
      </c>
      <c r="F152" s="185">
        <v>283.55</v>
      </c>
      <c r="G152" s="186">
        <v>311.90500000000003</v>
      </c>
      <c r="H152" s="161">
        <v>343.09550000000007</v>
      </c>
      <c r="I152" s="161">
        <v>377.40505000000013</v>
      </c>
      <c r="J152" s="161">
        <v>415.14555500000017</v>
      </c>
      <c r="K152" s="161">
        <v>415.14555500000017</v>
      </c>
    </row>
    <row r="153" spans="1:11" s="149" customFormat="1" ht="31" hidden="1" thickBot="1">
      <c r="A153" s="154"/>
      <c r="B153" s="182" t="s">
        <v>148</v>
      </c>
      <c r="C153" s="156" t="s">
        <v>181</v>
      </c>
      <c r="D153" s="189"/>
      <c r="E153" s="185">
        <v>2890</v>
      </c>
      <c r="F153" s="185">
        <v>3092.3</v>
      </c>
      <c r="G153" s="186">
        <v>3401.5300000000007</v>
      </c>
      <c r="H153" s="161">
        <v>3741.6830000000009</v>
      </c>
      <c r="I153" s="161">
        <v>4115.8513000000012</v>
      </c>
      <c r="J153" s="161">
        <v>4527.4364300000016</v>
      </c>
      <c r="K153" s="161">
        <v>4527.4364300000016</v>
      </c>
    </row>
    <row r="154" spans="1:11" s="149" customFormat="1" ht="31" hidden="1" thickBot="1">
      <c r="A154" s="154"/>
      <c r="B154" s="182" t="s">
        <v>156</v>
      </c>
      <c r="C154" s="156" t="s">
        <v>182</v>
      </c>
      <c r="D154" s="189"/>
      <c r="E154" s="185">
        <v>265</v>
      </c>
      <c r="F154" s="185">
        <v>283.55</v>
      </c>
      <c r="G154" s="186">
        <v>311.90500000000003</v>
      </c>
      <c r="H154" s="161">
        <v>343.09550000000007</v>
      </c>
      <c r="I154" s="161">
        <v>377.40505000000013</v>
      </c>
      <c r="J154" s="161">
        <v>415.14555500000017</v>
      </c>
      <c r="K154" s="161">
        <v>415.14555500000017</v>
      </c>
    </row>
    <row r="155" spans="1:11" s="149" customFormat="1" ht="15" hidden="1" thickBot="1">
      <c r="A155" s="154"/>
      <c r="B155" s="182"/>
      <c r="C155" s="156"/>
      <c r="D155" s="189"/>
      <c r="E155" s="185"/>
      <c r="F155" s="185"/>
      <c r="G155" s="191"/>
      <c r="H155" s="165"/>
      <c r="I155" s="165"/>
      <c r="J155" s="165"/>
      <c r="K155" s="165"/>
    </row>
    <row r="156" spans="1:11" s="149" customFormat="1" ht="31" hidden="1" thickBot="1">
      <c r="A156" s="153"/>
      <c r="B156" s="178" t="s">
        <v>183</v>
      </c>
      <c r="C156" s="179" t="s">
        <v>184</v>
      </c>
      <c r="D156" s="165"/>
      <c r="E156" s="187"/>
      <c r="F156" s="187"/>
      <c r="G156" s="191"/>
      <c r="H156" s="165"/>
      <c r="I156" s="165"/>
      <c r="J156" s="165"/>
      <c r="K156" s="165"/>
    </row>
    <row r="157" spans="1:11" s="149" customFormat="1" ht="16" hidden="1" thickBot="1">
      <c r="A157" s="154"/>
      <c r="B157" s="182" t="s">
        <v>146</v>
      </c>
      <c r="C157" s="190" t="s">
        <v>185</v>
      </c>
      <c r="D157" s="189"/>
      <c r="E157" s="185">
        <v>15</v>
      </c>
      <c r="F157" s="185">
        <v>16.05</v>
      </c>
      <c r="G157" s="186">
        <v>17.655000000000001</v>
      </c>
      <c r="H157" s="161">
        <v>19.420500000000004</v>
      </c>
      <c r="I157" s="161">
        <v>21.362550000000006</v>
      </c>
      <c r="J157" s="161">
        <v>23.498805000000008</v>
      </c>
      <c r="K157" s="161">
        <v>23.498805000000008</v>
      </c>
    </row>
    <row r="158" spans="1:11" s="149" customFormat="1" ht="16" hidden="1" thickBot="1">
      <c r="A158" s="154"/>
      <c r="B158" s="182" t="s">
        <v>148</v>
      </c>
      <c r="C158" s="190" t="s">
        <v>186</v>
      </c>
      <c r="D158" s="189"/>
      <c r="E158" s="185">
        <v>32</v>
      </c>
      <c r="F158" s="185">
        <v>34.24</v>
      </c>
      <c r="G158" s="186">
        <v>37.664000000000009</v>
      </c>
      <c r="H158" s="161">
        <v>41.430400000000013</v>
      </c>
      <c r="I158" s="161">
        <v>45.573440000000019</v>
      </c>
      <c r="J158" s="161">
        <v>50.130784000000027</v>
      </c>
      <c r="K158" s="161">
        <v>50.130784000000027</v>
      </c>
    </row>
    <row r="159" spans="1:11" s="149" customFormat="1" ht="16" hidden="1" thickBot="1">
      <c r="A159" s="154"/>
      <c r="B159" s="182" t="s">
        <v>156</v>
      </c>
      <c r="C159" s="190" t="s">
        <v>44</v>
      </c>
      <c r="D159" s="189"/>
      <c r="E159" s="185">
        <v>32</v>
      </c>
      <c r="F159" s="185">
        <v>34.24</v>
      </c>
      <c r="G159" s="186">
        <v>37.664000000000009</v>
      </c>
      <c r="H159" s="161">
        <v>41.430400000000013</v>
      </c>
      <c r="I159" s="161">
        <v>45.573440000000019</v>
      </c>
      <c r="J159" s="161">
        <v>50.130784000000027</v>
      </c>
      <c r="K159" s="161">
        <v>50.130784000000027</v>
      </c>
    </row>
    <row r="160" spans="1:11" s="149" customFormat="1" ht="16" hidden="1" thickBot="1">
      <c r="A160" s="154"/>
      <c r="B160" s="182" t="s">
        <v>161</v>
      </c>
      <c r="C160" s="190" t="s">
        <v>187</v>
      </c>
      <c r="D160" s="189"/>
      <c r="E160" s="185">
        <v>32</v>
      </c>
      <c r="F160" s="185">
        <v>34.24</v>
      </c>
      <c r="G160" s="186">
        <v>37.664000000000009</v>
      </c>
      <c r="H160" s="161">
        <v>41.430400000000013</v>
      </c>
      <c r="I160" s="161">
        <v>45.573440000000019</v>
      </c>
      <c r="J160" s="161">
        <v>50.130784000000027</v>
      </c>
      <c r="K160" s="161">
        <v>50.130784000000027</v>
      </c>
    </row>
    <row r="161" spans="1:11" s="149" customFormat="1" ht="16" hidden="1" thickBot="1">
      <c r="A161" s="154"/>
      <c r="B161" s="182" t="s">
        <v>188</v>
      </c>
      <c r="C161" s="190" t="s">
        <v>18</v>
      </c>
      <c r="D161" s="189"/>
      <c r="E161" s="185">
        <v>15</v>
      </c>
      <c r="F161" s="185">
        <v>16.05</v>
      </c>
      <c r="G161" s="186">
        <v>17.655000000000001</v>
      </c>
      <c r="H161" s="161">
        <v>19.420500000000004</v>
      </c>
      <c r="I161" s="161">
        <v>21.362550000000006</v>
      </c>
      <c r="J161" s="161">
        <v>23.498805000000008</v>
      </c>
      <c r="K161" s="161">
        <v>23.498805000000008</v>
      </c>
    </row>
    <row r="162" spans="1:11" s="149" customFormat="1" hidden="1">
      <c r="A162" s="153"/>
      <c r="B162" s="61" t="s">
        <v>29</v>
      </c>
      <c r="C162" s="171"/>
      <c r="D162" s="172"/>
      <c r="E162" s="173"/>
      <c r="F162" s="173"/>
      <c r="G162" s="174"/>
      <c r="H162" s="175"/>
      <c r="I162" s="175"/>
      <c r="J162" s="175"/>
      <c r="K162" s="175"/>
    </row>
    <row r="163" spans="1:11" s="149" customFormat="1" hidden="1">
      <c r="A163" s="153"/>
      <c r="B163" s="61"/>
      <c r="C163" s="171"/>
      <c r="D163" s="172"/>
      <c r="E163" s="173"/>
      <c r="F163" s="173"/>
      <c r="G163" s="174"/>
      <c r="H163" s="175"/>
      <c r="I163" s="175"/>
      <c r="J163" s="175"/>
      <c r="K163" s="175"/>
    </row>
    <row r="164" spans="1:11" s="149" customFormat="1" ht="15" hidden="1" thickBot="1">
      <c r="A164" s="153"/>
      <c r="B164" s="61"/>
      <c r="C164" s="171"/>
      <c r="D164" s="172"/>
      <c r="E164" s="173"/>
      <c r="F164" s="173"/>
      <c r="G164" s="174"/>
      <c r="H164" s="175"/>
      <c r="I164" s="175"/>
      <c r="J164" s="175"/>
      <c r="K164" s="175"/>
    </row>
    <row r="165" spans="1:11" ht="31" hidden="1" thickBot="1">
      <c r="A165" s="3"/>
      <c r="B165" s="177" t="s">
        <v>141</v>
      </c>
      <c r="C165" s="10"/>
      <c r="D165" s="11"/>
      <c r="E165" s="12" t="s">
        <v>3</v>
      </c>
      <c r="F165" s="12" t="s">
        <v>4</v>
      </c>
      <c r="G165" s="12" t="s">
        <v>5</v>
      </c>
      <c r="H165" s="12" t="s">
        <v>32</v>
      </c>
      <c r="I165" s="12" t="s">
        <v>7</v>
      </c>
      <c r="J165" s="12" t="s">
        <v>8</v>
      </c>
      <c r="K165" s="12" t="s">
        <v>8</v>
      </c>
    </row>
    <row r="166" spans="1:11" ht="16.5" hidden="1" customHeight="1" thickBot="1">
      <c r="A166" s="3"/>
      <c r="B166" s="981" t="s">
        <v>113</v>
      </c>
      <c r="C166" s="982"/>
      <c r="D166" s="983"/>
      <c r="E166" s="984" t="s">
        <v>113</v>
      </c>
      <c r="F166" s="985"/>
      <c r="G166" s="985"/>
      <c r="H166" s="985"/>
      <c r="I166" s="985"/>
      <c r="J166" s="985"/>
      <c r="K166" s="13"/>
    </row>
    <row r="167" spans="1:11" s="149" customFormat="1" ht="15" hidden="1" thickBot="1">
      <c r="A167" s="153"/>
      <c r="C167" s="150"/>
      <c r="D167" s="151"/>
      <c r="E167" s="152"/>
      <c r="F167" s="152"/>
      <c r="G167" s="152"/>
      <c r="H167" s="151"/>
      <c r="I167" s="151"/>
      <c r="J167" s="151"/>
      <c r="K167" s="151"/>
    </row>
    <row r="168" spans="1:11" s="149" customFormat="1" ht="16" hidden="1" thickBot="1">
      <c r="A168" s="154"/>
      <c r="B168" s="182" t="s">
        <v>189</v>
      </c>
      <c r="C168" s="190"/>
      <c r="D168" s="189"/>
      <c r="E168" s="185"/>
      <c r="F168" s="185"/>
      <c r="G168" s="186"/>
      <c r="H168" s="161"/>
      <c r="I168" s="161"/>
      <c r="J168" s="161"/>
      <c r="K168" s="161"/>
    </row>
    <row r="169" spans="1:11" s="149" customFormat="1" ht="16" hidden="1" thickBot="1">
      <c r="A169" s="154"/>
      <c r="B169" s="182" t="s">
        <v>190</v>
      </c>
      <c r="C169" s="163" t="s">
        <v>167</v>
      </c>
      <c r="D169" s="184"/>
      <c r="E169" s="187"/>
      <c r="F169" s="187"/>
      <c r="G169" s="191"/>
      <c r="H169" s="165"/>
      <c r="I169" s="165"/>
      <c r="J169" s="165"/>
      <c r="K169" s="165"/>
    </row>
    <row r="170" spans="1:11" s="149" customFormat="1" ht="61" hidden="1" thickBot="1">
      <c r="A170" s="154"/>
      <c r="B170" s="182"/>
      <c r="C170" s="190" t="s">
        <v>191</v>
      </c>
      <c r="D170" s="189"/>
      <c r="E170" s="185">
        <v>7.35</v>
      </c>
      <c r="F170" s="185">
        <v>7.86</v>
      </c>
      <c r="G170" s="186">
        <v>8.6460000000000008</v>
      </c>
      <c r="H170" s="161">
        <v>9.5106000000000019</v>
      </c>
      <c r="I170" s="161">
        <v>10.461660000000004</v>
      </c>
      <c r="J170" s="161">
        <v>11.507826000000005</v>
      </c>
      <c r="K170" s="161">
        <v>11.507826000000005</v>
      </c>
    </row>
    <row r="171" spans="1:11" s="149" customFormat="1" ht="16" hidden="1" thickBot="1">
      <c r="A171" s="154"/>
      <c r="B171" s="182" t="s">
        <v>192</v>
      </c>
      <c r="C171" s="163" t="s">
        <v>171</v>
      </c>
      <c r="D171" s="184"/>
      <c r="E171" s="187"/>
      <c r="F171" s="187"/>
      <c r="G171" s="191"/>
      <c r="H171" s="165"/>
      <c r="I171" s="165"/>
      <c r="J171" s="165"/>
      <c r="K171" s="165"/>
    </row>
    <row r="172" spans="1:11" s="149" customFormat="1" ht="31" hidden="1" thickBot="1">
      <c r="A172" s="154"/>
      <c r="B172" s="182" t="s">
        <v>146</v>
      </c>
      <c r="C172" s="190" t="s">
        <v>193</v>
      </c>
      <c r="D172" s="189"/>
      <c r="E172" s="185">
        <v>420</v>
      </c>
      <c r="F172" s="185">
        <v>449.4</v>
      </c>
      <c r="G172" s="186">
        <v>494.34000000000003</v>
      </c>
      <c r="H172" s="161">
        <v>543.77400000000011</v>
      </c>
      <c r="I172" s="161">
        <v>598.15140000000019</v>
      </c>
      <c r="J172" s="161">
        <v>657.96654000000024</v>
      </c>
      <c r="K172" s="161">
        <v>657.96654000000024</v>
      </c>
    </row>
    <row r="173" spans="1:11" s="149" customFormat="1" ht="31" hidden="1" thickBot="1">
      <c r="A173" s="154"/>
      <c r="B173" s="182" t="s">
        <v>148</v>
      </c>
      <c r="C173" s="190" t="s">
        <v>194</v>
      </c>
      <c r="D173" s="189"/>
      <c r="E173" s="185">
        <v>630</v>
      </c>
      <c r="F173" s="185">
        <v>674.1</v>
      </c>
      <c r="G173" s="186">
        <v>741.5100000000001</v>
      </c>
      <c r="H173" s="161">
        <v>815.66100000000017</v>
      </c>
      <c r="I173" s="161">
        <v>897.22710000000029</v>
      </c>
      <c r="J173" s="161">
        <v>986.94981000000041</v>
      </c>
      <c r="K173" s="161">
        <v>986.94981000000041</v>
      </c>
    </row>
    <row r="174" spans="1:11" s="149" customFormat="1" ht="16" hidden="1" thickBot="1">
      <c r="A174" s="154"/>
      <c r="B174" s="182" t="s">
        <v>195</v>
      </c>
      <c r="C174" s="163" t="s">
        <v>175</v>
      </c>
      <c r="D174" s="184"/>
      <c r="E174" s="187"/>
      <c r="F174" s="187"/>
      <c r="G174" s="191"/>
      <c r="H174" s="165"/>
      <c r="I174" s="165"/>
      <c r="J174" s="165"/>
      <c r="K174" s="165"/>
    </row>
    <row r="175" spans="1:11" s="149" customFormat="1" ht="31" hidden="1" thickBot="1">
      <c r="A175" s="154"/>
      <c r="B175" s="182"/>
      <c r="C175" s="190" t="s">
        <v>196</v>
      </c>
      <c r="D175" s="189"/>
      <c r="E175" s="185">
        <v>105</v>
      </c>
      <c r="F175" s="185">
        <v>112.35</v>
      </c>
      <c r="G175" s="186">
        <v>123.58500000000001</v>
      </c>
      <c r="H175" s="161">
        <v>135.94350000000003</v>
      </c>
      <c r="I175" s="161">
        <v>149.53785000000005</v>
      </c>
      <c r="J175" s="161">
        <v>164.49163500000006</v>
      </c>
      <c r="K175" s="161">
        <v>164.49163500000006</v>
      </c>
    </row>
    <row r="176" spans="1:11" s="149" customFormat="1" ht="16" hidden="1" thickBot="1">
      <c r="A176" s="154"/>
      <c r="B176" s="182" t="s">
        <v>197</v>
      </c>
      <c r="C176" s="163" t="s">
        <v>178</v>
      </c>
      <c r="D176" s="184"/>
      <c r="E176" s="187"/>
      <c r="F176" s="187"/>
      <c r="G176" s="191"/>
      <c r="H176" s="165"/>
      <c r="I176" s="165"/>
      <c r="J176" s="165"/>
      <c r="K176" s="165"/>
    </row>
    <row r="177" spans="1:11" s="149" customFormat="1" ht="16" hidden="1" thickBot="1">
      <c r="A177" s="154"/>
      <c r="B177" s="182"/>
      <c r="C177" s="190" t="s">
        <v>198</v>
      </c>
      <c r="D177" s="189"/>
      <c r="E177" s="187"/>
      <c r="F177" s="187"/>
      <c r="G177" s="191"/>
      <c r="H177" s="165"/>
      <c r="I177" s="165"/>
      <c r="J177" s="165"/>
      <c r="K177" s="165"/>
    </row>
    <row r="178" spans="1:11" s="149" customFormat="1" ht="31" hidden="1" thickBot="1">
      <c r="A178" s="154"/>
      <c r="B178" s="182" t="s">
        <v>146</v>
      </c>
      <c r="C178" s="190" t="s">
        <v>199</v>
      </c>
      <c r="D178" s="189"/>
      <c r="E178" s="185">
        <v>2265</v>
      </c>
      <c r="F178" s="185">
        <v>2423.5500000000002</v>
      </c>
      <c r="G178" s="186">
        <v>2665.9050000000002</v>
      </c>
      <c r="H178" s="161">
        <v>2932.4955000000004</v>
      </c>
      <c r="I178" s="161">
        <v>3225.7450500000009</v>
      </c>
      <c r="J178" s="161">
        <v>3548.3195550000014</v>
      </c>
      <c r="K178" s="161">
        <v>3548.3195550000014</v>
      </c>
    </row>
    <row r="179" spans="1:11" s="149" customFormat="1" ht="31" hidden="1" thickBot="1">
      <c r="A179" s="154"/>
      <c r="B179" s="182" t="s">
        <v>148</v>
      </c>
      <c r="C179" s="190" t="s">
        <v>200</v>
      </c>
      <c r="D179" s="189"/>
      <c r="E179" s="185">
        <v>2890</v>
      </c>
      <c r="F179" s="185">
        <v>3092.23</v>
      </c>
      <c r="G179" s="186">
        <v>3401.4530000000004</v>
      </c>
      <c r="H179" s="161">
        <v>3741.5983000000006</v>
      </c>
      <c r="I179" s="161">
        <v>4115.7581300000011</v>
      </c>
      <c r="J179" s="161">
        <v>4527.3339430000015</v>
      </c>
      <c r="K179" s="161">
        <v>4527.3339430000015</v>
      </c>
    </row>
    <row r="180" spans="1:11" s="149" customFormat="1" ht="31" hidden="1" thickBot="1">
      <c r="A180" s="154"/>
      <c r="B180" s="182" t="s">
        <v>156</v>
      </c>
      <c r="C180" s="190" t="s">
        <v>201</v>
      </c>
      <c r="D180" s="189"/>
      <c r="E180" s="185">
        <v>26.25</v>
      </c>
      <c r="F180" s="185">
        <v>28.08</v>
      </c>
      <c r="G180" s="186">
        <v>30.888000000000002</v>
      </c>
      <c r="H180" s="161">
        <v>33.976800000000004</v>
      </c>
      <c r="I180" s="161">
        <v>37.374480000000005</v>
      </c>
      <c r="J180" s="161">
        <v>41.111928000000006</v>
      </c>
      <c r="K180" s="161">
        <v>41.111928000000006</v>
      </c>
    </row>
    <row r="181" spans="1:11" hidden="1">
      <c r="A181" s="62"/>
      <c r="B181" s="61" t="s">
        <v>29</v>
      </c>
      <c r="I181" s="13"/>
      <c r="J181" s="13"/>
      <c r="K181" s="13"/>
    </row>
    <row r="182" spans="1:11" hidden="1">
      <c r="A182" s="62"/>
      <c r="B182" s="61"/>
      <c r="I182" s="13"/>
      <c r="J182" s="13"/>
      <c r="K182" s="13"/>
    </row>
    <row r="183" spans="1:11" ht="15" hidden="1" thickBot="1">
      <c r="A183" s="62"/>
      <c r="I183" s="13"/>
      <c r="J183" s="13"/>
      <c r="K183" s="13"/>
    </row>
    <row r="184" spans="1:11" ht="31" hidden="1" thickBot="1">
      <c r="A184" s="3"/>
      <c r="B184" s="9"/>
      <c r="C184" s="10"/>
      <c r="D184" s="11"/>
      <c r="E184" s="12" t="s">
        <v>3</v>
      </c>
      <c r="F184" s="12" t="s">
        <v>4</v>
      </c>
      <c r="G184" s="12" t="s">
        <v>5</v>
      </c>
      <c r="H184" s="12" t="s">
        <v>32</v>
      </c>
      <c r="I184" s="12" t="s">
        <v>7</v>
      </c>
      <c r="J184" s="12" t="s">
        <v>8</v>
      </c>
      <c r="K184" s="12" t="s">
        <v>8</v>
      </c>
    </row>
    <row r="185" spans="1:11" s="283" customFormat="1" ht="17" hidden="1" thickBot="1">
      <c r="A185" s="282"/>
      <c r="B185" s="953" t="s">
        <v>202</v>
      </c>
      <c r="C185" s="954"/>
      <c r="D185" s="955"/>
      <c r="E185" s="956" t="s">
        <v>203</v>
      </c>
      <c r="F185" s="957"/>
      <c r="G185" s="957"/>
      <c r="H185" s="957"/>
      <c r="I185" s="957"/>
      <c r="J185" s="957"/>
    </row>
    <row r="186" spans="1:11" s="149" customFormat="1" ht="15" hidden="1" thickBot="1">
      <c r="C186" s="150"/>
      <c r="D186" s="151"/>
      <c r="E186" s="152"/>
      <c r="F186" s="152"/>
      <c r="G186" s="152"/>
      <c r="H186" s="151"/>
      <c r="I186" s="151"/>
      <c r="J186" s="151"/>
      <c r="K186" s="151"/>
    </row>
    <row r="187" spans="1:11" s="149" customFormat="1" ht="31" hidden="1" thickBot="1">
      <c r="A187" s="153"/>
      <c r="B187" s="9" t="s">
        <v>204</v>
      </c>
      <c r="C187" s="10"/>
      <c r="D187" s="11"/>
      <c r="E187" s="64" t="s">
        <v>3</v>
      </c>
      <c r="F187" s="64" t="s">
        <v>4</v>
      </c>
      <c r="G187" s="64" t="s">
        <v>5</v>
      </c>
      <c r="H187" s="64" t="s">
        <v>32</v>
      </c>
      <c r="I187" s="64" t="s">
        <v>7</v>
      </c>
      <c r="J187" s="64" t="s">
        <v>8</v>
      </c>
      <c r="K187" s="64" t="s">
        <v>8</v>
      </c>
    </row>
    <row r="188" spans="1:11" ht="16" hidden="1" thickBot="1">
      <c r="A188" s="192"/>
      <c r="B188" s="193" t="s">
        <v>205</v>
      </c>
      <c r="C188" s="194" t="s">
        <v>206</v>
      </c>
      <c r="D188" s="195"/>
      <c r="E188" s="195"/>
      <c r="F188" s="196"/>
      <c r="G188" s="195"/>
      <c r="H188" s="196"/>
      <c r="I188" s="195"/>
      <c r="J188" s="195"/>
      <c r="K188" s="195"/>
    </row>
    <row r="189" spans="1:11" ht="16" hidden="1" thickBot="1">
      <c r="A189" s="192"/>
      <c r="B189" s="193"/>
      <c r="C189" s="195"/>
      <c r="D189" s="195"/>
      <c r="E189" s="195"/>
      <c r="F189" s="196"/>
      <c r="G189" s="195"/>
      <c r="H189" s="196"/>
      <c r="I189" s="195"/>
      <c r="J189" s="195"/>
      <c r="K189" s="195"/>
    </row>
    <row r="190" spans="1:11" ht="16" hidden="1" thickBot="1">
      <c r="A190" s="192"/>
      <c r="B190" s="193"/>
      <c r="C190" s="197" t="s">
        <v>207</v>
      </c>
      <c r="D190" s="195"/>
      <c r="E190" s="195"/>
      <c r="F190" s="196"/>
      <c r="G190" s="195"/>
      <c r="H190" s="196"/>
      <c r="I190" s="195"/>
      <c r="J190" s="195"/>
      <c r="K190" s="195"/>
    </row>
    <row r="191" spans="1:11" ht="16" hidden="1" thickBot="1">
      <c r="A191" s="192"/>
      <c r="B191" s="195"/>
      <c r="C191" s="195" t="s">
        <v>208</v>
      </c>
      <c r="D191" s="198"/>
      <c r="E191" s="198">
        <v>49.43</v>
      </c>
      <c r="F191" s="196">
        <v>53.55</v>
      </c>
      <c r="G191" s="186">
        <v>58.905000000000001</v>
      </c>
      <c r="H191" s="161">
        <f>G191*11.9%+G191</f>
        <v>65.914694999999995</v>
      </c>
      <c r="I191" s="161">
        <f>H191*11.9%+H191</f>
        <v>73.758543704999994</v>
      </c>
      <c r="J191" s="161">
        <f>I191*11.9%+I191</f>
        <v>82.535810405894992</v>
      </c>
      <c r="K191" s="161">
        <f>J191*11.9%+J191</f>
        <v>92.357571844196499</v>
      </c>
    </row>
    <row r="192" spans="1:11" ht="16" hidden="1" thickBot="1">
      <c r="A192" s="192"/>
      <c r="B192" s="302" t="s">
        <v>116</v>
      </c>
      <c r="C192" s="302" t="s">
        <v>117</v>
      </c>
      <c r="D192" s="302"/>
      <c r="E192" s="302"/>
      <c r="F192" s="304">
        <f t="shared" ref="F192:K192" si="4">+F191/2</f>
        <v>26.774999999999999</v>
      </c>
      <c r="G192" s="305">
        <f t="shared" si="4"/>
        <v>29.452500000000001</v>
      </c>
      <c r="H192" s="306">
        <f t="shared" si="4"/>
        <v>32.957347499999997</v>
      </c>
      <c r="I192" s="306">
        <f t="shared" si="4"/>
        <v>36.879271852499997</v>
      </c>
      <c r="J192" s="306">
        <f t="shared" si="4"/>
        <v>41.267905202947496</v>
      </c>
      <c r="K192" s="306">
        <f t="shared" si="4"/>
        <v>46.17878592209825</v>
      </c>
    </row>
    <row r="193" spans="1:11" ht="16" hidden="1" thickBot="1">
      <c r="A193" s="192"/>
      <c r="B193" s="195"/>
      <c r="C193" s="199"/>
      <c r="D193" s="195"/>
      <c r="E193" s="195"/>
      <c r="F193" s="196"/>
      <c r="G193" s="196"/>
      <c r="H193" s="196"/>
      <c r="I193" s="196"/>
      <c r="J193" s="196"/>
      <c r="K193" s="196"/>
    </row>
    <row r="194" spans="1:11" ht="16" hidden="1" thickBot="1">
      <c r="A194" s="192"/>
      <c r="B194" s="195"/>
      <c r="C194" s="195" t="s">
        <v>209</v>
      </c>
      <c r="D194" s="198"/>
      <c r="E194" s="198"/>
      <c r="F194" s="196"/>
      <c r="G194" s="196"/>
      <c r="H194" s="196"/>
      <c r="I194" s="196"/>
      <c r="J194" s="196"/>
      <c r="K194" s="196"/>
    </row>
    <row r="195" spans="1:11" ht="15" hidden="1" thickBot="1">
      <c r="A195" s="192"/>
      <c r="B195" s="195"/>
      <c r="C195" s="200" t="s">
        <v>210</v>
      </c>
      <c r="D195" s="198"/>
      <c r="E195" s="198"/>
      <c r="F195" s="198" t="s">
        <v>14</v>
      </c>
      <c r="G195" s="198" t="s">
        <v>14</v>
      </c>
      <c r="H195" s="198" t="s">
        <v>14</v>
      </c>
      <c r="I195" s="198" t="s">
        <v>14</v>
      </c>
      <c r="J195" s="198" t="s">
        <v>14</v>
      </c>
      <c r="K195" s="198" t="s">
        <v>14</v>
      </c>
    </row>
    <row r="196" spans="1:11" ht="16" hidden="1" thickBot="1">
      <c r="A196" s="192"/>
      <c r="B196" s="195"/>
      <c r="C196" s="200" t="s">
        <v>211</v>
      </c>
      <c r="D196" s="198"/>
      <c r="E196" s="198" t="s">
        <v>14</v>
      </c>
      <c r="F196" s="196">
        <v>2.2599999999999998</v>
      </c>
      <c r="G196" s="186">
        <v>2.4859999999999998</v>
      </c>
      <c r="H196" s="161">
        <f>G196*11.93%+G196</f>
        <v>2.7825797999999997</v>
      </c>
      <c r="I196" s="161">
        <f>H196*11.93%+H196</f>
        <v>3.1145415701399997</v>
      </c>
      <c r="J196" s="161">
        <f>I196*11.93%+I196</f>
        <v>3.4861063794577016</v>
      </c>
      <c r="K196" s="161">
        <f>J196*11.93%+J196</f>
        <v>3.9019988705270054</v>
      </c>
    </row>
    <row r="197" spans="1:11" ht="16" hidden="1" thickBot="1">
      <c r="A197" s="192"/>
      <c r="B197" s="195"/>
      <c r="C197" s="200" t="s">
        <v>212</v>
      </c>
      <c r="D197" s="198"/>
      <c r="E197" s="198">
        <v>1.9</v>
      </c>
      <c r="F197" s="196">
        <v>2.91</v>
      </c>
      <c r="G197" s="186">
        <v>3.2010000000000005</v>
      </c>
      <c r="H197" s="161">
        <f>G197*11.92%+G197</f>
        <v>3.5825592000000004</v>
      </c>
      <c r="I197" s="161">
        <f>H197*11.92%+H197</f>
        <v>4.0096002566400006</v>
      </c>
      <c r="J197" s="161">
        <f>I197*11.92%+I197</f>
        <v>4.4875446072314888</v>
      </c>
      <c r="K197" s="161">
        <f>J197*11.92%+J197</f>
        <v>5.0224599244134822</v>
      </c>
    </row>
    <row r="198" spans="1:11" ht="16" hidden="1" thickBot="1">
      <c r="A198" s="192"/>
      <c r="B198" s="195"/>
      <c r="C198" s="200" t="s">
        <v>213</v>
      </c>
      <c r="D198" s="198"/>
      <c r="E198" s="198">
        <v>1.9</v>
      </c>
      <c r="F198" s="196">
        <v>3.35</v>
      </c>
      <c r="G198" s="186">
        <v>3.6850000000000005</v>
      </c>
      <c r="H198" s="161">
        <f>G198*11.91%+G198</f>
        <v>4.1238835000000007</v>
      </c>
      <c r="I198" s="161">
        <f>H198*11.91%+H198</f>
        <v>4.6150380248500005</v>
      </c>
      <c r="J198" s="161">
        <f>I198*11.91%+I198</f>
        <v>5.164689053609635</v>
      </c>
      <c r="K198" s="161">
        <f>J198*11.91%+J198</f>
        <v>5.7798035198945428</v>
      </c>
    </row>
    <row r="199" spans="1:11" ht="16" hidden="1" thickBot="1">
      <c r="A199" s="192"/>
      <c r="B199" s="195"/>
      <c r="C199" s="200" t="s">
        <v>214</v>
      </c>
      <c r="D199" s="198"/>
      <c r="E199" s="198">
        <v>2.02</v>
      </c>
      <c r="F199" s="196">
        <v>3.63</v>
      </c>
      <c r="G199" s="186">
        <v>3.9930000000000003</v>
      </c>
      <c r="H199" s="161">
        <f>G199*13.64%+G199</f>
        <v>4.5376452</v>
      </c>
      <c r="I199" s="161">
        <f>H199*13.64%+H199</f>
        <v>5.1565800052800004</v>
      </c>
      <c r="J199" s="161">
        <f>I199*13.64%+I199</f>
        <v>5.8599375180001925</v>
      </c>
      <c r="K199" s="161">
        <f>J199*13.64%+J199</f>
        <v>6.6592329954554188</v>
      </c>
    </row>
    <row r="200" spans="1:11" ht="16" hidden="1" thickBot="1">
      <c r="A200" s="192"/>
      <c r="B200" s="195"/>
      <c r="C200" s="200"/>
      <c r="D200" s="198"/>
      <c r="E200" s="198"/>
      <c r="F200" s="196"/>
      <c r="G200" s="196"/>
      <c r="H200" s="196"/>
      <c r="I200" s="196"/>
      <c r="J200" s="196"/>
      <c r="K200" s="196"/>
    </row>
    <row r="201" spans="1:11" ht="16" hidden="1" thickBot="1">
      <c r="A201" s="192"/>
      <c r="B201" s="195"/>
      <c r="C201" s="201" t="s">
        <v>215</v>
      </c>
      <c r="D201" s="198"/>
      <c r="E201" s="198"/>
      <c r="F201" s="196"/>
      <c r="G201" s="196"/>
      <c r="H201" s="196"/>
      <c r="I201" s="196"/>
      <c r="J201" s="196"/>
      <c r="K201" s="196"/>
    </row>
    <row r="202" spans="1:11" ht="16" hidden="1" thickBot="1">
      <c r="A202" s="192"/>
      <c r="B202" s="195"/>
      <c r="C202" s="202" t="s">
        <v>216</v>
      </c>
      <c r="D202" s="198"/>
      <c r="E202" s="198">
        <v>0</v>
      </c>
      <c r="F202" s="196">
        <v>47.52</v>
      </c>
      <c r="G202" s="186">
        <v>52.272000000000006</v>
      </c>
      <c r="H202" s="161">
        <f>G202*11.91%+G202</f>
        <v>58.497595200000006</v>
      </c>
      <c r="I202" s="161">
        <f>H202*11.91%+H202</f>
        <v>65.464658788320008</v>
      </c>
      <c r="J202" s="161">
        <f>I202*11.91%+I202</f>
        <v>73.261499650008915</v>
      </c>
      <c r="K202" s="161">
        <f>J202*11.91%+J202</f>
        <v>81.986944258324982</v>
      </c>
    </row>
    <row r="203" spans="1:11" ht="16" hidden="1" thickBot="1">
      <c r="A203" s="192"/>
      <c r="B203" s="195"/>
      <c r="C203" s="200"/>
      <c r="D203" s="198"/>
      <c r="E203" s="198"/>
      <c r="F203" s="196"/>
      <c r="G203" s="196"/>
      <c r="H203" s="196"/>
      <c r="I203" s="196"/>
      <c r="J203" s="196"/>
      <c r="K203" s="196"/>
    </row>
    <row r="204" spans="1:11" ht="16" hidden="1" thickBot="1">
      <c r="A204" s="192"/>
      <c r="B204" s="195"/>
      <c r="C204" s="201" t="s">
        <v>217</v>
      </c>
      <c r="D204" s="198"/>
      <c r="E204" s="198"/>
      <c r="F204" s="196"/>
      <c r="G204" s="196"/>
      <c r="H204" s="196"/>
      <c r="I204" s="196"/>
      <c r="J204" s="196"/>
      <c r="K204" s="196"/>
    </row>
    <row r="205" spans="1:11" ht="16" hidden="1" thickBot="1">
      <c r="A205" s="192"/>
      <c r="B205" s="195"/>
      <c r="C205" s="195" t="s">
        <v>208</v>
      </c>
      <c r="D205" s="198"/>
      <c r="E205" s="198">
        <v>0</v>
      </c>
      <c r="F205" s="196">
        <v>0</v>
      </c>
      <c r="G205" s="196">
        <v>0</v>
      </c>
      <c r="H205" s="196">
        <v>0</v>
      </c>
      <c r="I205" s="196">
        <v>0</v>
      </c>
      <c r="J205" s="196">
        <v>0</v>
      </c>
      <c r="K205" s="196">
        <v>0</v>
      </c>
    </row>
    <row r="206" spans="1:11" ht="16" hidden="1" thickBot="1">
      <c r="A206" s="192"/>
      <c r="B206" s="195"/>
      <c r="C206" s="195" t="s">
        <v>209</v>
      </c>
      <c r="D206" s="198"/>
      <c r="E206" s="198">
        <v>0</v>
      </c>
      <c r="F206" s="196">
        <v>4.26</v>
      </c>
      <c r="G206" s="186">
        <v>4.6859999999999999</v>
      </c>
      <c r="H206" s="161">
        <f>G206*11.96%+G206</f>
        <v>5.2464456000000004</v>
      </c>
      <c r="I206" s="161">
        <f>H206*11.96%+H206</f>
        <v>5.87392049376</v>
      </c>
      <c r="J206" s="161">
        <f>I206*11.96%+I206</f>
        <v>6.5764413848136964</v>
      </c>
      <c r="K206" s="161">
        <f>J206*11.96%+J206</f>
        <v>7.3629837744374145</v>
      </c>
    </row>
    <row r="207" spans="1:11" ht="16" hidden="1" thickBot="1">
      <c r="A207" s="192"/>
      <c r="B207" s="195"/>
      <c r="C207" s="200"/>
      <c r="D207" s="198"/>
      <c r="E207" s="198"/>
      <c r="F207" s="196"/>
      <c r="G207" s="196"/>
      <c r="H207" s="196"/>
      <c r="I207" s="196"/>
      <c r="J207" s="196"/>
      <c r="K207" s="196"/>
    </row>
    <row r="208" spans="1:11" ht="16" hidden="1" thickBot="1">
      <c r="A208" s="192"/>
      <c r="B208" s="195"/>
      <c r="C208" s="201" t="s">
        <v>218</v>
      </c>
      <c r="D208" s="198"/>
      <c r="E208" s="198"/>
      <c r="F208" s="196"/>
      <c r="G208" s="196"/>
      <c r="H208" s="196"/>
      <c r="I208" s="196"/>
      <c r="J208" s="196"/>
      <c r="K208" s="196"/>
    </row>
    <row r="209" spans="1:11" ht="16" hidden="1" thickBot="1">
      <c r="A209" s="192"/>
      <c r="B209" s="195"/>
      <c r="C209" s="202" t="s">
        <v>216</v>
      </c>
      <c r="D209" s="198"/>
      <c r="E209" s="198">
        <v>0</v>
      </c>
      <c r="F209" s="196">
        <v>25.99</v>
      </c>
      <c r="G209" s="186">
        <v>28.589000000000002</v>
      </c>
      <c r="H209" s="161">
        <f>G209*11.91%+G209</f>
        <v>31.993949900000004</v>
      </c>
      <c r="I209" s="161">
        <f>H209*11.91%+H209</f>
        <v>35.804429333090006</v>
      </c>
      <c r="J209" s="161">
        <f>I209*11.91%+I209</f>
        <v>40.068736866661027</v>
      </c>
      <c r="K209" s="161">
        <f>J209*11.91%+J209</f>
        <v>44.840923427480355</v>
      </c>
    </row>
    <row r="210" spans="1:11" ht="16" hidden="1" thickBot="1">
      <c r="A210" s="192"/>
      <c r="B210" s="195"/>
      <c r="C210" s="200"/>
      <c r="D210" s="198"/>
      <c r="E210" s="198"/>
      <c r="F210" s="196"/>
      <c r="G210" s="196"/>
      <c r="H210" s="196"/>
      <c r="I210" s="196"/>
      <c r="J210" s="196"/>
      <c r="K210" s="196"/>
    </row>
    <row r="211" spans="1:11" ht="16" hidden="1" thickBot="1">
      <c r="A211" s="192"/>
      <c r="B211" s="195"/>
      <c r="C211" s="201" t="s">
        <v>219</v>
      </c>
      <c r="D211" s="198"/>
      <c r="E211" s="198"/>
      <c r="F211" s="196"/>
      <c r="G211" s="196"/>
      <c r="H211" s="196"/>
      <c r="I211" s="196"/>
      <c r="J211" s="196"/>
      <c r="K211" s="196"/>
    </row>
    <row r="212" spans="1:11" ht="16" hidden="1" thickBot="1">
      <c r="A212" s="192"/>
      <c r="B212" s="195"/>
      <c r="C212" s="200" t="s">
        <v>220</v>
      </c>
      <c r="D212" s="198"/>
      <c r="E212" s="198">
        <v>0</v>
      </c>
      <c r="F212" s="196">
        <v>4.24</v>
      </c>
      <c r="G212" s="186">
        <v>4.6640000000000006</v>
      </c>
      <c r="H212" s="161">
        <f>G212*11.89%+G212</f>
        <v>5.2185496000000011</v>
      </c>
      <c r="I212" s="161">
        <f>H212*11.89%+H212</f>
        <v>5.8390351474400015</v>
      </c>
      <c r="J212" s="161">
        <f>I212*11.89%+I212</f>
        <v>6.5332964264706179</v>
      </c>
      <c r="K212" s="161">
        <f>J212*11.89%+J212</f>
        <v>7.3101053715779747</v>
      </c>
    </row>
    <row r="213" spans="1:11" ht="16" hidden="1" thickBot="1">
      <c r="A213" s="192"/>
      <c r="B213" s="195"/>
      <c r="C213" s="200" t="s">
        <v>214</v>
      </c>
      <c r="D213" s="198"/>
      <c r="E213" s="198">
        <v>0</v>
      </c>
      <c r="F213" s="196">
        <v>4.53</v>
      </c>
      <c r="G213" s="186">
        <v>4.9830000000000005</v>
      </c>
      <c r="H213" s="161">
        <f>G213*11.86%+G213</f>
        <v>5.5739838000000006</v>
      </c>
      <c r="I213" s="161">
        <f>H213*11.86%+H213</f>
        <v>6.2350582786800004</v>
      </c>
      <c r="J213" s="161">
        <f>I213*11.86%+I213</f>
        <v>6.9745361905314489</v>
      </c>
      <c r="K213" s="161">
        <f>J213*11.86%+J213</f>
        <v>7.8017161827284784</v>
      </c>
    </row>
    <row r="214" spans="1:11" ht="16" hidden="1" thickBot="1">
      <c r="A214" s="192"/>
      <c r="B214" s="195"/>
      <c r="C214" s="195"/>
      <c r="D214" s="198"/>
      <c r="E214" s="198"/>
      <c r="F214" s="196"/>
      <c r="G214" s="196"/>
      <c r="H214" s="196"/>
      <c r="I214" s="196"/>
      <c r="J214" s="196"/>
      <c r="K214" s="196"/>
    </row>
    <row r="215" spans="1:11" ht="16" hidden="1" thickBot="1">
      <c r="A215" s="192"/>
      <c r="B215" s="193" t="s">
        <v>221</v>
      </c>
      <c r="C215" s="194" t="s">
        <v>222</v>
      </c>
      <c r="D215" s="198"/>
      <c r="E215" s="198"/>
      <c r="F215" s="196"/>
      <c r="G215" s="196"/>
      <c r="H215" s="196"/>
      <c r="I215" s="196"/>
      <c r="J215" s="196"/>
      <c r="K215" s="196"/>
    </row>
    <row r="216" spans="1:11" ht="16" hidden="1" thickBot="1">
      <c r="A216" s="192"/>
      <c r="B216" s="193"/>
      <c r="C216" s="195" t="s">
        <v>208</v>
      </c>
      <c r="D216" s="198"/>
      <c r="E216" s="198">
        <v>49.43</v>
      </c>
      <c r="F216" s="196">
        <v>70.209999999999994</v>
      </c>
      <c r="G216" s="186">
        <v>77.230999999999995</v>
      </c>
      <c r="H216" s="161">
        <f>G216*11.91%+G216</f>
        <v>86.429212100000001</v>
      </c>
      <c r="I216" s="161">
        <f>H216*11.91%+H216</f>
        <v>96.722931261110006</v>
      </c>
      <c r="J216" s="161">
        <f>I216*11.91%+I216</f>
        <v>108.2426323743082</v>
      </c>
      <c r="K216" s="161">
        <f>J216*11.91%+J216</f>
        <v>121.13432989008831</v>
      </c>
    </row>
    <row r="217" spans="1:11" ht="16" hidden="1" thickBot="1">
      <c r="A217" s="192"/>
      <c r="B217" s="193"/>
      <c r="C217" s="199"/>
      <c r="D217" s="195"/>
      <c r="E217" s="195"/>
      <c r="F217" s="196"/>
      <c r="G217" s="196"/>
      <c r="H217" s="196"/>
      <c r="I217" s="196"/>
      <c r="J217" s="196"/>
      <c r="K217" s="196"/>
    </row>
    <row r="218" spans="1:11" ht="16" hidden="1" thickBot="1">
      <c r="A218" s="192"/>
      <c r="B218" s="195"/>
      <c r="C218" s="200" t="s">
        <v>220</v>
      </c>
      <c r="D218" s="198"/>
      <c r="E218" s="198">
        <v>2.0299999999999998</v>
      </c>
      <c r="F218" s="196">
        <v>2.6</v>
      </c>
      <c r="G218" s="186">
        <v>2.8600000000000003</v>
      </c>
      <c r="H218" s="161">
        <f>G218*1.98%+G218</f>
        <v>2.9166280000000002</v>
      </c>
      <c r="I218" s="161">
        <f>H218*1.98%+H218</f>
        <v>2.9743772344000003</v>
      </c>
      <c r="J218" s="161">
        <f>I218*1.98%+I218</f>
        <v>3.0332699036411204</v>
      </c>
      <c r="K218" s="161">
        <f>J218*1.98%+J218</f>
        <v>3.0933286477332147</v>
      </c>
    </row>
    <row r="219" spans="1:11" ht="16" hidden="1" thickBot="1">
      <c r="A219" s="192"/>
      <c r="B219" s="195"/>
      <c r="C219" s="200" t="s">
        <v>223</v>
      </c>
      <c r="D219" s="198"/>
      <c r="E219" s="198">
        <v>2.0299999999999998</v>
      </c>
      <c r="F219" s="196">
        <v>3.24</v>
      </c>
      <c r="G219" s="186">
        <v>3.5640000000000005</v>
      </c>
      <c r="H219" s="161">
        <f>G219*11.96%+G219</f>
        <v>3.9902544000000004</v>
      </c>
      <c r="I219" s="161">
        <f>H219*11.96%+H219</f>
        <v>4.4674888262400003</v>
      </c>
      <c r="J219" s="161">
        <f>I219*11.96%+I219</f>
        <v>5.0018004898583044</v>
      </c>
      <c r="K219" s="161">
        <f>J219*11.96%+J219</f>
        <v>5.6000158284453576</v>
      </c>
    </row>
    <row r="220" spans="1:11" ht="16" hidden="1" thickBot="1">
      <c r="A220" s="192"/>
      <c r="B220" s="195"/>
      <c r="C220" s="200" t="s">
        <v>214</v>
      </c>
      <c r="D220" s="198"/>
      <c r="E220" s="198">
        <v>2.0299999999999998</v>
      </c>
      <c r="F220" s="196">
        <v>4.0599999999999996</v>
      </c>
      <c r="G220" s="186">
        <v>4.4660000000000002</v>
      </c>
      <c r="H220" s="161">
        <f>G220*12.13%+G220</f>
        <v>5.0077258000000002</v>
      </c>
      <c r="I220" s="161">
        <f>H220*12.13%+H220</f>
        <v>5.6151629395400002</v>
      </c>
      <c r="J220" s="161">
        <f>I220*12.13%+I220</f>
        <v>6.2962822041062019</v>
      </c>
      <c r="K220" s="161">
        <f>J220*12.13%+J220</f>
        <v>7.0600212354642844</v>
      </c>
    </row>
    <row r="221" spans="1:11" ht="16" hidden="1" thickBot="1">
      <c r="A221" s="192"/>
      <c r="B221" s="195"/>
      <c r="C221" s="202" t="s">
        <v>224</v>
      </c>
      <c r="D221" s="203"/>
      <c r="E221" s="196">
        <v>1.71</v>
      </c>
      <c r="F221" s="196">
        <v>4.26</v>
      </c>
      <c r="G221" s="186">
        <v>4.6859999999999999</v>
      </c>
      <c r="H221" s="161">
        <f>G221*10.3%+G221</f>
        <v>5.1686579999999998</v>
      </c>
      <c r="I221" s="161">
        <f>H221*10.3%+H221</f>
        <v>5.7010297740000002</v>
      </c>
      <c r="J221" s="161">
        <f>I221*10.3%+I221</f>
        <v>6.2882358407220007</v>
      </c>
      <c r="K221" s="161">
        <f>J221*10.3%+J221</f>
        <v>6.9359241323163667</v>
      </c>
    </row>
    <row r="222" spans="1:11" ht="16" hidden="1" thickBot="1">
      <c r="A222" s="192"/>
      <c r="B222" s="195"/>
      <c r="C222" s="199"/>
      <c r="D222" s="195"/>
      <c r="E222" s="195"/>
      <c r="F222" s="196"/>
      <c r="G222" s="196"/>
      <c r="H222" s="196"/>
      <c r="I222" s="196"/>
      <c r="J222" s="196"/>
      <c r="K222" s="196"/>
    </row>
    <row r="223" spans="1:11" ht="16" hidden="1" thickBot="1">
      <c r="A223" s="192"/>
      <c r="B223" s="193" t="s">
        <v>225</v>
      </c>
      <c r="C223" s="202" t="s">
        <v>226</v>
      </c>
      <c r="D223" s="198"/>
      <c r="E223" s="198">
        <v>29.61</v>
      </c>
      <c r="F223" s="196">
        <v>36.4</v>
      </c>
      <c r="G223" s="186">
        <v>40.04</v>
      </c>
      <c r="H223" s="161">
        <f>G223*10.3%+G223</f>
        <v>44.164119999999997</v>
      </c>
      <c r="I223" s="161">
        <f>H223*10.3%+H223</f>
        <v>48.713024359999999</v>
      </c>
      <c r="J223" s="161">
        <f>I223*10.3%+I223</f>
        <v>53.73046586908</v>
      </c>
      <c r="K223" s="161">
        <f>J223*10.3%+J223</f>
        <v>59.264703853595236</v>
      </c>
    </row>
    <row r="224" spans="1:11" ht="16" hidden="1" thickBot="1">
      <c r="A224" s="192"/>
      <c r="B224" s="193"/>
      <c r="C224" s="202"/>
      <c r="D224" s="198"/>
      <c r="E224" s="198"/>
      <c r="F224" s="196"/>
      <c r="G224" s="196"/>
      <c r="H224" s="196"/>
      <c r="I224" s="196"/>
      <c r="J224" s="196"/>
      <c r="K224" s="196"/>
    </row>
    <row r="225" spans="1:11" ht="16" hidden="1" thickBot="1">
      <c r="A225" s="192"/>
      <c r="B225" s="193" t="s">
        <v>227</v>
      </c>
      <c r="C225" s="202" t="s">
        <v>228</v>
      </c>
      <c r="D225" s="204"/>
      <c r="E225" s="204">
        <v>200</v>
      </c>
      <c r="F225" s="205">
        <v>200</v>
      </c>
      <c r="G225" s="186">
        <v>220.00000000000003</v>
      </c>
      <c r="H225" s="161">
        <f>G225*10.3%+G225</f>
        <v>242.66000000000003</v>
      </c>
      <c r="I225" s="161">
        <f>H225*10.3%+H225</f>
        <v>267.65398000000005</v>
      </c>
      <c r="J225" s="161">
        <f>I225*10.3%+I225</f>
        <v>295.22233994000004</v>
      </c>
      <c r="K225" s="161">
        <f>J225*10.3%+J225</f>
        <v>325.63024095382002</v>
      </c>
    </row>
    <row r="226" spans="1:11" ht="16" hidden="1" thickBot="1">
      <c r="A226" s="192"/>
      <c r="B226" s="195"/>
      <c r="C226" s="195"/>
      <c r="D226" s="195"/>
      <c r="E226" s="195"/>
      <c r="F226" s="196"/>
      <c r="G226" s="196"/>
      <c r="H226" s="196"/>
      <c r="I226" s="196"/>
      <c r="J226" s="196"/>
      <c r="K226" s="196"/>
    </row>
    <row r="227" spans="1:11" hidden="1">
      <c r="A227" s="62"/>
      <c r="B227" s="61" t="s">
        <v>29</v>
      </c>
      <c r="I227" s="13"/>
      <c r="J227" s="13"/>
      <c r="K227" s="13"/>
    </row>
    <row r="228" spans="1:11" ht="16" hidden="1" thickBot="1">
      <c r="A228" s="192"/>
      <c r="B228" s="206"/>
      <c r="C228" s="206"/>
      <c r="D228" s="206"/>
      <c r="E228" s="206"/>
      <c r="F228" s="207"/>
      <c r="G228" s="207"/>
      <c r="H228" s="207"/>
      <c r="I228" s="207"/>
      <c r="J228" s="207"/>
      <c r="K228" s="207"/>
    </row>
    <row r="229" spans="1:11" ht="31" hidden="1" thickBot="1">
      <c r="A229" s="3"/>
      <c r="B229" s="9"/>
      <c r="C229" s="10"/>
      <c r="D229" s="11"/>
      <c r="E229" s="12" t="s">
        <v>3</v>
      </c>
      <c r="F229" s="12" t="s">
        <v>4</v>
      </c>
      <c r="G229" s="12" t="s">
        <v>5</v>
      </c>
      <c r="H229" s="12" t="s">
        <v>32</v>
      </c>
      <c r="I229" s="12" t="s">
        <v>7</v>
      </c>
      <c r="J229" s="12" t="s">
        <v>8</v>
      </c>
      <c r="K229" s="12" t="s">
        <v>8</v>
      </c>
    </row>
    <row r="230" spans="1:11" ht="16.5" hidden="1" customHeight="1" thickBot="1">
      <c r="A230" s="3"/>
      <c r="B230" s="970" t="s">
        <v>202</v>
      </c>
      <c r="C230" s="971"/>
      <c r="D230" s="972"/>
      <c r="E230" s="973" t="s">
        <v>229</v>
      </c>
      <c r="F230" s="974"/>
      <c r="G230" s="974"/>
      <c r="H230" s="974"/>
      <c r="I230" s="974"/>
      <c r="J230" s="974"/>
      <c r="K230" s="13"/>
    </row>
    <row r="231" spans="1:11" s="149" customFormat="1" ht="15" hidden="1" thickBot="1">
      <c r="C231" s="150"/>
      <c r="D231" s="151"/>
      <c r="E231" s="152"/>
      <c r="F231" s="152"/>
      <c r="G231" s="152"/>
      <c r="H231" s="151"/>
      <c r="I231" s="151"/>
      <c r="J231" s="151"/>
      <c r="K231" s="151"/>
    </row>
    <row r="232" spans="1:11" s="149" customFormat="1" ht="31" hidden="1" thickBot="1">
      <c r="A232" s="153"/>
      <c r="B232" s="9" t="s">
        <v>31</v>
      </c>
      <c r="C232" s="10"/>
      <c r="D232" s="11"/>
      <c r="E232" s="64" t="s">
        <v>3</v>
      </c>
      <c r="F232" s="64" t="s">
        <v>4</v>
      </c>
      <c r="G232" s="64" t="s">
        <v>5</v>
      </c>
      <c r="H232" s="64" t="s">
        <v>32</v>
      </c>
      <c r="I232" s="64" t="s">
        <v>7</v>
      </c>
      <c r="J232" s="64" t="s">
        <v>8</v>
      </c>
      <c r="K232" s="64" t="s">
        <v>8</v>
      </c>
    </row>
    <row r="233" spans="1:11" ht="16" hidden="1" thickBot="1">
      <c r="A233" s="192"/>
      <c r="B233" s="193"/>
      <c r="C233" s="195"/>
      <c r="D233" s="195"/>
      <c r="E233" s="195"/>
      <c r="F233" s="196"/>
      <c r="G233" s="196"/>
      <c r="H233" s="196"/>
      <c r="I233" s="196"/>
      <c r="J233" s="196"/>
      <c r="K233" s="196"/>
    </row>
    <row r="234" spans="1:11" ht="16" hidden="1" thickBot="1">
      <c r="A234" s="192"/>
      <c r="B234" s="193" t="s">
        <v>205</v>
      </c>
      <c r="C234" s="195" t="s">
        <v>230</v>
      </c>
      <c r="D234" s="198"/>
      <c r="E234" s="198">
        <v>27.63</v>
      </c>
      <c r="F234" s="196">
        <v>29.370689999999996</v>
      </c>
      <c r="G234" s="186">
        <v>32.307758999999997</v>
      </c>
      <c r="H234" s="161">
        <f>G234*13.31%+G234</f>
        <v>36.607921722899995</v>
      </c>
      <c r="I234" s="161">
        <f>H234*13.31%+H234</f>
        <v>41.480436104217986</v>
      </c>
      <c r="J234" s="161">
        <f>I234*13.31%+I234</f>
        <v>47.001482149689402</v>
      </c>
      <c r="K234" s="161">
        <f>J234*13.31%+J234</f>
        <v>53.257379423813063</v>
      </c>
    </row>
    <row r="235" spans="1:11" ht="16" hidden="1" thickBot="1">
      <c r="A235" s="192"/>
      <c r="B235" s="195"/>
      <c r="C235" s="202"/>
      <c r="D235" s="198"/>
      <c r="E235" s="198"/>
      <c r="F235" s="196"/>
      <c r="G235" s="196"/>
      <c r="H235" s="196"/>
      <c r="I235" s="196"/>
      <c r="J235" s="196"/>
      <c r="K235" s="196"/>
    </row>
    <row r="236" spans="1:11" ht="16" hidden="1" thickBot="1">
      <c r="A236" s="192"/>
      <c r="B236" s="195"/>
      <c r="C236" s="202"/>
      <c r="D236" s="198"/>
      <c r="E236" s="198"/>
      <c r="F236" s="196"/>
      <c r="G236" s="196"/>
      <c r="H236" s="196"/>
      <c r="I236" s="196"/>
      <c r="J236" s="196"/>
      <c r="K236" s="196"/>
    </row>
    <row r="237" spans="1:11" ht="16" hidden="1" thickBot="1">
      <c r="A237" s="192"/>
      <c r="B237" s="195"/>
      <c r="C237" s="195" t="s">
        <v>231</v>
      </c>
      <c r="D237" s="198"/>
      <c r="E237" s="198">
        <v>53.98</v>
      </c>
      <c r="F237" s="196">
        <v>57.380739999999996</v>
      </c>
      <c r="G237" s="186">
        <v>63.118814</v>
      </c>
      <c r="H237" s="161">
        <f>G237*11.84%+G237</f>
        <v>70.592081577599998</v>
      </c>
      <c r="I237" s="161">
        <f>H237*11.84%+H237</f>
        <v>78.950184036387839</v>
      </c>
      <c r="J237" s="161">
        <f>I237*11.84%+I237</f>
        <v>88.297885826296152</v>
      </c>
      <c r="K237" s="161">
        <f>J237*11.84%+J237</f>
        <v>98.752355508129625</v>
      </c>
    </row>
    <row r="238" spans="1:11" ht="16" hidden="1" thickBot="1">
      <c r="A238" s="192"/>
      <c r="B238" s="195"/>
      <c r="C238" s="202"/>
      <c r="D238" s="198"/>
      <c r="E238" s="198"/>
      <c r="F238" s="196"/>
      <c r="G238" s="196"/>
      <c r="H238" s="196"/>
      <c r="I238" s="196"/>
      <c r="J238" s="196"/>
      <c r="K238" s="196"/>
    </row>
    <row r="239" spans="1:11" ht="16" hidden="1" thickBot="1">
      <c r="A239" s="192"/>
      <c r="B239" s="195"/>
      <c r="C239" s="202"/>
      <c r="D239" s="198"/>
      <c r="E239" s="198"/>
      <c r="F239" s="196"/>
      <c r="G239" s="196"/>
      <c r="H239" s="196"/>
      <c r="I239" s="196"/>
      <c r="J239" s="196"/>
      <c r="K239" s="196"/>
    </row>
    <row r="240" spans="1:11" ht="16" hidden="1" thickBot="1">
      <c r="A240" s="192"/>
      <c r="B240" s="193" t="s">
        <v>221</v>
      </c>
      <c r="C240" s="194" t="s">
        <v>232</v>
      </c>
      <c r="D240" s="198"/>
      <c r="E240" s="198"/>
      <c r="F240" s="196"/>
      <c r="G240" s="196"/>
      <c r="H240" s="196"/>
      <c r="I240" s="196"/>
      <c r="J240" s="196"/>
      <c r="K240" s="196"/>
    </row>
    <row r="241" spans="1:11" ht="16" hidden="1" thickBot="1">
      <c r="A241" s="192"/>
      <c r="B241" s="195"/>
      <c r="C241" s="202" t="s">
        <v>15</v>
      </c>
      <c r="D241" s="198"/>
      <c r="E241" s="198"/>
      <c r="F241" s="196"/>
      <c r="G241" s="196"/>
      <c r="H241" s="196"/>
      <c r="I241" s="196"/>
      <c r="J241" s="196"/>
      <c r="K241" s="196"/>
    </row>
    <row r="242" spans="1:11" ht="16" hidden="1" thickBot="1">
      <c r="A242" s="192"/>
      <c r="B242" s="195"/>
      <c r="C242" s="200" t="s">
        <v>233</v>
      </c>
      <c r="D242" s="198"/>
      <c r="E242" s="198">
        <v>4.45</v>
      </c>
      <c r="F242" s="196">
        <v>4.7303499999999996</v>
      </c>
      <c r="G242" s="186">
        <v>5.2033849999999999</v>
      </c>
      <c r="H242" s="161">
        <f>G242*12.22%+G242</f>
        <v>5.8392386470000002</v>
      </c>
      <c r="I242" s="161">
        <f t="shared" ref="I242:K243" si="5">H242*12.22%+H242</f>
        <v>6.5527936096634001</v>
      </c>
      <c r="J242" s="161">
        <f t="shared" si="5"/>
        <v>7.3535449887642672</v>
      </c>
      <c r="K242" s="161">
        <f t="shared" si="5"/>
        <v>8.2521481863912598</v>
      </c>
    </row>
    <row r="243" spans="1:11" ht="16" hidden="1" thickBot="1">
      <c r="A243" s="192"/>
      <c r="B243" s="195"/>
      <c r="C243" s="200" t="s">
        <v>234</v>
      </c>
      <c r="D243" s="198"/>
      <c r="E243" s="198">
        <v>4.45</v>
      </c>
      <c r="F243" s="196">
        <v>4.7303499999999996</v>
      </c>
      <c r="G243" s="186">
        <v>5.2033849999999999</v>
      </c>
      <c r="H243" s="161">
        <f>G243*12.22%+G243</f>
        <v>5.8392386470000002</v>
      </c>
      <c r="I243" s="161">
        <f t="shared" si="5"/>
        <v>6.5527936096634001</v>
      </c>
      <c r="J243" s="161">
        <f t="shared" si="5"/>
        <v>7.3535449887642672</v>
      </c>
      <c r="K243" s="161">
        <f t="shared" si="5"/>
        <v>8.2521481863912598</v>
      </c>
    </row>
    <row r="244" spans="1:11" ht="16" hidden="1" thickBot="1">
      <c r="A244" s="192"/>
      <c r="B244" s="195"/>
      <c r="C244" s="200"/>
      <c r="D244" s="198"/>
      <c r="E244" s="198"/>
      <c r="F244" s="196"/>
      <c r="G244" s="196"/>
      <c r="H244" s="196"/>
      <c r="I244" s="196"/>
      <c r="J244" s="196"/>
      <c r="K244" s="196"/>
    </row>
    <row r="245" spans="1:11" ht="16" hidden="1" thickBot="1">
      <c r="A245" s="192"/>
      <c r="B245" s="195"/>
      <c r="C245" s="202" t="s">
        <v>235</v>
      </c>
      <c r="D245" s="198"/>
      <c r="E245" s="198">
        <v>17.760000000000002</v>
      </c>
      <c r="F245" s="196">
        <v>18.878880000000002</v>
      </c>
      <c r="G245" s="186">
        <v>20.766768000000003</v>
      </c>
      <c r="H245" s="161">
        <f>G245*12.21%+G245</f>
        <v>23.302390372800005</v>
      </c>
      <c r="I245" s="161">
        <f>H245*12.21%+H245</f>
        <v>26.147612237318885</v>
      </c>
      <c r="J245" s="161">
        <f>I245*12.21%+I245</f>
        <v>29.340235691495522</v>
      </c>
      <c r="K245" s="161">
        <f>J245*12.21%+J245</f>
        <v>32.922678469427126</v>
      </c>
    </row>
    <row r="246" spans="1:11" ht="16" hidden="1" thickBot="1">
      <c r="A246" s="192"/>
      <c r="B246" s="195"/>
      <c r="C246" s="200"/>
      <c r="D246" s="198"/>
      <c r="E246" s="198"/>
      <c r="F246" s="196"/>
      <c r="G246" s="196"/>
      <c r="H246" s="196"/>
      <c r="I246" s="196"/>
      <c r="J246" s="196"/>
      <c r="K246" s="196"/>
    </row>
    <row r="247" spans="1:11" ht="16" hidden="1" thickBot="1">
      <c r="A247" s="192"/>
      <c r="B247" s="195"/>
      <c r="C247" s="202" t="s">
        <v>224</v>
      </c>
      <c r="D247" s="198"/>
      <c r="E247" s="198">
        <v>4.1900000000000004</v>
      </c>
      <c r="F247" s="196">
        <v>4.45397</v>
      </c>
      <c r="G247" s="186">
        <v>4.8993670000000007</v>
      </c>
      <c r="H247" s="161">
        <f>G247*12.16%+G247</f>
        <v>5.495130027200001</v>
      </c>
      <c r="I247" s="161">
        <f>H247*12.16%+H247</f>
        <v>6.1633378385075215</v>
      </c>
      <c r="J247" s="161">
        <f>I247*12.16%+I247</f>
        <v>6.9127997196700361</v>
      </c>
      <c r="K247" s="161">
        <f>J247*12.16%+J247</f>
        <v>7.753396165581913</v>
      </c>
    </row>
    <row r="248" spans="1:11" ht="16" hidden="1" thickBot="1">
      <c r="A248" s="192"/>
      <c r="B248" s="195"/>
      <c r="C248" s="202"/>
      <c r="D248" s="198"/>
      <c r="E248" s="198"/>
      <c r="F248" s="196"/>
      <c r="G248" s="208"/>
      <c r="H248" s="196"/>
      <c r="I248" s="208"/>
      <c r="J248" s="208"/>
      <c r="K248" s="208"/>
    </row>
    <row r="249" spans="1:11" ht="16" hidden="1" thickBot="1">
      <c r="A249" s="192"/>
      <c r="B249" s="193" t="s">
        <v>225</v>
      </c>
      <c r="C249" s="209" t="s">
        <v>236</v>
      </c>
      <c r="D249" s="198"/>
      <c r="E249" s="198"/>
      <c r="F249" s="196"/>
      <c r="G249" s="196"/>
      <c r="H249" s="196"/>
      <c r="I249" s="196"/>
      <c r="J249" s="196"/>
      <c r="K249" s="196"/>
    </row>
    <row r="250" spans="1:11" ht="15" hidden="1" thickBot="1">
      <c r="A250" s="192"/>
      <c r="B250" s="195"/>
      <c r="C250" s="195"/>
      <c r="D250" s="198"/>
      <c r="E250" s="198"/>
      <c r="F250" s="198"/>
      <c r="G250" s="198"/>
      <c r="H250" s="198"/>
      <c r="I250" s="198"/>
      <c r="J250" s="198"/>
      <c r="K250" s="198"/>
    </row>
    <row r="251" spans="1:11" ht="15" hidden="1" thickBot="1">
      <c r="A251" s="192"/>
      <c r="B251" s="193" t="s">
        <v>237</v>
      </c>
      <c r="C251" s="209" t="s">
        <v>238</v>
      </c>
      <c r="D251" s="198"/>
      <c r="E251" s="198"/>
      <c r="F251" s="198"/>
      <c r="G251" s="198"/>
      <c r="H251" s="198"/>
      <c r="I251" s="198"/>
      <c r="J251" s="198"/>
      <c r="K251" s="198"/>
    </row>
    <row r="252" spans="1:11" ht="15" hidden="1" thickBot="1">
      <c r="A252" s="192"/>
      <c r="B252" s="195"/>
      <c r="C252" s="195" t="s">
        <v>239</v>
      </c>
      <c r="D252" s="198"/>
      <c r="E252" s="198"/>
      <c r="F252" s="198"/>
      <c r="G252" s="198"/>
      <c r="H252" s="198"/>
      <c r="I252" s="198"/>
      <c r="J252" s="198"/>
      <c r="K252" s="198"/>
    </row>
    <row r="253" spans="1:11" ht="15" hidden="1" thickBot="1">
      <c r="A253" s="192"/>
      <c r="B253" s="195"/>
      <c r="C253" s="195"/>
      <c r="D253" s="198"/>
      <c r="E253" s="198"/>
      <c r="F253" s="198"/>
      <c r="G253" s="198"/>
      <c r="H253" s="198"/>
      <c r="I253" s="198"/>
      <c r="J253" s="198"/>
      <c r="K253" s="198"/>
    </row>
    <row r="254" spans="1:11" ht="15" hidden="1" thickBot="1">
      <c r="A254" s="192"/>
      <c r="B254" s="193" t="s">
        <v>240</v>
      </c>
      <c r="C254" s="209" t="s">
        <v>241</v>
      </c>
      <c r="D254" s="198"/>
      <c r="E254" s="198"/>
      <c r="F254" s="195"/>
      <c r="G254" s="195"/>
      <c r="H254" s="195"/>
      <c r="I254" s="195"/>
      <c r="J254" s="195"/>
      <c r="K254" s="195"/>
    </row>
    <row r="255" spans="1:11" ht="15" hidden="1" thickBot="1">
      <c r="A255" s="192"/>
      <c r="B255" s="195"/>
      <c r="C255" s="195" t="s">
        <v>242</v>
      </c>
      <c r="D255" s="198"/>
      <c r="E255" s="198"/>
      <c r="F255" s="195"/>
      <c r="G255" s="195"/>
      <c r="H255" s="195"/>
      <c r="I255" s="195"/>
      <c r="J255" s="195"/>
      <c r="K255" s="195"/>
    </row>
    <row r="256" spans="1:11" ht="15" hidden="1" thickBot="1">
      <c r="A256" s="192"/>
      <c r="B256" s="195"/>
      <c r="C256" s="195"/>
      <c r="D256" s="198"/>
      <c r="E256" s="198"/>
      <c r="F256" s="195"/>
      <c r="G256" s="195"/>
      <c r="H256" s="195"/>
      <c r="I256" s="195"/>
      <c r="J256" s="195"/>
      <c r="K256" s="195"/>
    </row>
    <row r="257" spans="1:11" hidden="1">
      <c r="A257" s="62"/>
      <c r="B257" s="61" t="s">
        <v>29</v>
      </c>
      <c r="I257" s="13"/>
      <c r="J257" s="13"/>
      <c r="K257" s="13"/>
    </row>
    <row r="258" spans="1:11" ht="15" hidden="1" thickBot="1">
      <c r="A258" s="62"/>
      <c r="I258" s="13"/>
      <c r="J258" s="13"/>
      <c r="K258" s="13"/>
    </row>
    <row r="259" spans="1:11" ht="31" hidden="1" thickBot="1">
      <c r="A259" s="3"/>
      <c r="B259" s="9"/>
      <c r="C259" s="10"/>
      <c r="D259" s="11"/>
      <c r="E259" s="12" t="s">
        <v>3</v>
      </c>
      <c r="F259" s="12" t="s">
        <v>4</v>
      </c>
      <c r="G259" s="12" t="s">
        <v>5</v>
      </c>
      <c r="H259" s="12" t="s">
        <v>32</v>
      </c>
      <c r="I259" s="12" t="s">
        <v>7</v>
      </c>
      <c r="J259" s="12" t="s">
        <v>8</v>
      </c>
      <c r="K259" s="64" t="s">
        <v>9</v>
      </c>
    </row>
    <row r="260" spans="1:11" s="335" customFormat="1" ht="20" thickBot="1">
      <c r="A260" s="8"/>
      <c r="B260" s="960" t="s">
        <v>30</v>
      </c>
      <c r="C260" s="961"/>
      <c r="D260" s="962"/>
      <c r="E260" s="963" t="s">
        <v>30</v>
      </c>
      <c r="F260" s="964"/>
      <c r="G260" s="964"/>
      <c r="H260" s="964"/>
      <c r="I260" s="964"/>
      <c r="J260" s="964"/>
    </row>
    <row r="261" spans="1:11" s="283" customFormat="1" ht="17" thickBot="1">
      <c r="A261" s="282"/>
      <c r="B261" s="943" t="s">
        <v>10</v>
      </c>
      <c r="C261" s="944"/>
      <c r="D261" s="945"/>
      <c r="E261" s="946" t="s">
        <v>10</v>
      </c>
      <c r="F261" s="947"/>
      <c r="G261" s="947"/>
      <c r="H261" s="947"/>
      <c r="I261" s="947"/>
      <c r="J261" s="947"/>
    </row>
    <row r="262" spans="1:11" s="283" customFormat="1" ht="17" thickBot="1">
      <c r="A262" s="282"/>
      <c r="B262" s="948" t="s">
        <v>113</v>
      </c>
      <c r="C262" s="949"/>
      <c r="D262" s="950"/>
      <c r="E262" s="951" t="s">
        <v>113</v>
      </c>
      <c r="F262" s="952"/>
      <c r="G262" s="952"/>
      <c r="H262" s="952"/>
      <c r="I262" s="952"/>
      <c r="J262" s="952"/>
    </row>
    <row r="263" spans="1:11" s="283" customFormat="1" ht="17" thickBot="1">
      <c r="A263" s="282"/>
      <c r="B263" s="953" t="s">
        <v>202</v>
      </c>
      <c r="C263" s="954"/>
      <c r="D263" s="955"/>
      <c r="E263" s="956" t="s">
        <v>203</v>
      </c>
      <c r="F263" s="957"/>
      <c r="G263" s="957"/>
      <c r="H263" s="957"/>
      <c r="I263" s="957"/>
      <c r="J263" s="957"/>
    </row>
    <row r="264" spans="1:11" s="149" customFormat="1" ht="15" thickBot="1">
      <c r="C264" s="150"/>
      <c r="D264" s="151"/>
      <c r="E264" s="152"/>
      <c r="F264" s="152"/>
      <c r="G264" s="152"/>
      <c r="H264" s="151"/>
      <c r="I264" s="151"/>
      <c r="J264" s="151"/>
      <c r="K264" s="151"/>
    </row>
    <row r="265" spans="1:11" s="149" customFormat="1" ht="31" thickBot="1">
      <c r="A265" s="153"/>
      <c r="B265" s="9" t="s">
        <v>204</v>
      </c>
      <c r="C265" s="10"/>
      <c r="D265" s="11"/>
      <c r="E265" s="64" t="s">
        <v>3</v>
      </c>
      <c r="F265" s="64" t="s">
        <v>4</v>
      </c>
      <c r="G265" s="64" t="s">
        <v>5</v>
      </c>
      <c r="H265" s="64" t="s">
        <v>32</v>
      </c>
      <c r="I265" s="64" t="s">
        <v>7</v>
      </c>
      <c r="J265" s="64" t="s">
        <v>8</v>
      </c>
      <c r="K265" s="350" t="s">
        <v>9</v>
      </c>
    </row>
    <row r="266" spans="1:11" ht="16" thickBot="1">
      <c r="A266" s="192"/>
      <c r="B266" s="193" t="s">
        <v>205</v>
      </c>
      <c r="C266" s="194" t="s">
        <v>206</v>
      </c>
      <c r="D266" s="195"/>
      <c r="E266" s="195"/>
      <c r="F266" s="196"/>
      <c r="G266" s="195"/>
      <c r="H266" s="196"/>
      <c r="I266" s="195"/>
      <c r="J266" s="195"/>
      <c r="K266" s="195"/>
    </row>
    <row r="267" spans="1:11" ht="16" thickBot="1">
      <c r="A267" s="192"/>
      <c r="B267" s="193"/>
      <c r="C267" s="195"/>
      <c r="D267" s="195"/>
      <c r="E267" s="195"/>
      <c r="F267" s="196"/>
      <c r="G267" s="195"/>
      <c r="H267" s="196"/>
      <c r="I267" s="195"/>
      <c r="J267" s="195"/>
      <c r="K267" s="195"/>
    </row>
    <row r="268" spans="1:11" ht="16" thickBot="1">
      <c r="A268" s="192"/>
      <c r="B268" s="193"/>
      <c r="C268" s="197" t="s">
        <v>207</v>
      </c>
      <c r="D268" s="195"/>
      <c r="E268" s="195"/>
      <c r="F268" s="196"/>
      <c r="G268" s="195"/>
      <c r="H268" s="196"/>
      <c r="I268" s="195"/>
      <c r="J268" s="195"/>
      <c r="K268" s="195"/>
    </row>
    <row r="269" spans="1:11" ht="16" thickBot="1">
      <c r="A269" s="192"/>
      <c r="B269" s="302"/>
      <c r="C269" s="302" t="s">
        <v>243</v>
      </c>
      <c r="D269" s="303"/>
      <c r="E269" s="303"/>
      <c r="F269" s="304">
        <v>56.1</v>
      </c>
      <c r="G269" s="305">
        <v>62.271000000000008</v>
      </c>
      <c r="H269" s="306">
        <v>68.498100000000008</v>
      </c>
      <c r="I269" s="306">
        <v>75.347910000000013</v>
      </c>
      <c r="J269" s="306">
        <v>82.882701000000026</v>
      </c>
      <c r="K269" s="306">
        <f>J269*10%+J269</f>
        <v>91.170971100000031</v>
      </c>
    </row>
    <row r="270" spans="1:11" ht="16" thickBot="1">
      <c r="A270" s="192"/>
      <c r="B270" s="302" t="s">
        <v>116</v>
      </c>
      <c r="C270" s="302" t="s">
        <v>117</v>
      </c>
      <c r="D270" s="302"/>
      <c r="E270" s="302"/>
      <c r="F270" s="304">
        <f t="shared" ref="F270:K270" si="6">+F269/2</f>
        <v>28.05</v>
      </c>
      <c r="G270" s="305">
        <f t="shared" si="6"/>
        <v>31.135500000000004</v>
      </c>
      <c r="H270" s="306">
        <f t="shared" si="6"/>
        <v>34.249050000000004</v>
      </c>
      <c r="I270" s="306">
        <f t="shared" si="6"/>
        <v>37.673955000000007</v>
      </c>
      <c r="J270" s="306">
        <f t="shared" si="6"/>
        <v>41.441350500000013</v>
      </c>
      <c r="K270" s="306">
        <f t="shared" si="6"/>
        <v>45.585485550000016</v>
      </c>
    </row>
    <row r="271" spans="1:11" ht="16" thickBot="1">
      <c r="A271" s="192"/>
      <c r="B271" s="195"/>
      <c r="C271" s="195" t="s">
        <v>209</v>
      </c>
      <c r="D271" s="198"/>
      <c r="E271" s="198"/>
      <c r="F271" s="196"/>
      <c r="G271" s="196"/>
      <c r="H271" s="196"/>
      <c r="I271" s="196"/>
      <c r="J271" s="196"/>
      <c r="K271" s="196"/>
    </row>
    <row r="272" spans="1:11" ht="15" thickBot="1">
      <c r="A272" s="192"/>
      <c r="B272" s="195"/>
      <c r="C272" s="200" t="s">
        <v>210</v>
      </c>
      <c r="D272" s="198"/>
      <c r="E272" s="198"/>
      <c r="F272" s="198" t="s">
        <v>14</v>
      </c>
      <c r="G272" s="198" t="s">
        <v>14</v>
      </c>
      <c r="H272" s="198" t="s">
        <v>14</v>
      </c>
      <c r="I272" s="198" t="s">
        <v>14</v>
      </c>
      <c r="J272" s="198" t="s">
        <v>14</v>
      </c>
      <c r="K272" s="198" t="s">
        <v>14</v>
      </c>
    </row>
    <row r="273" spans="1:11" ht="15" thickBot="1">
      <c r="A273" s="192"/>
      <c r="B273" s="195"/>
      <c r="C273" s="200" t="s">
        <v>211</v>
      </c>
      <c r="D273" s="198"/>
      <c r="E273" s="198"/>
      <c r="F273" s="198" t="s">
        <v>14</v>
      </c>
      <c r="G273" s="186">
        <v>2.63</v>
      </c>
      <c r="H273" s="186">
        <f>G273*10%+G273</f>
        <v>2.8929999999999998</v>
      </c>
      <c r="I273" s="161">
        <f>H273*10%+H273</f>
        <v>3.1822999999999997</v>
      </c>
      <c r="J273" s="161">
        <f>I273*10%+I273</f>
        <v>3.5005299999999995</v>
      </c>
      <c r="K273" s="161">
        <f>J273*10%+J273</f>
        <v>3.8505829999999994</v>
      </c>
    </row>
    <row r="274" spans="1:11" ht="16" thickBot="1">
      <c r="A274" s="192"/>
      <c r="B274" s="195"/>
      <c r="C274" s="200" t="s">
        <v>212</v>
      </c>
      <c r="D274" s="198"/>
      <c r="E274" s="198"/>
      <c r="F274" s="196">
        <v>3.05</v>
      </c>
      <c r="G274" s="186">
        <f>+F274*1.11</f>
        <v>3.3855</v>
      </c>
      <c r="H274" s="186">
        <f>G274*10%+G274</f>
        <v>3.7240500000000001</v>
      </c>
      <c r="I274" s="161">
        <f t="shared" ref="I274:K276" si="7">H274*10%+H274</f>
        <v>4.0964549999999997</v>
      </c>
      <c r="J274" s="161">
        <f t="shared" si="7"/>
        <v>4.5061004999999996</v>
      </c>
      <c r="K274" s="161">
        <f t="shared" si="7"/>
        <v>4.9567105499999995</v>
      </c>
    </row>
    <row r="275" spans="1:11" ht="16" thickBot="1">
      <c r="A275" s="192"/>
      <c r="B275" s="195"/>
      <c r="C275" s="200" t="s">
        <v>213</v>
      </c>
      <c r="D275" s="198"/>
      <c r="E275" s="198"/>
      <c r="F275" s="196">
        <v>3.51</v>
      </c>
      <c r="G275" s="186">
        <f>+F275*1.11</f>
        <v>3.8961000000000001</v>
      </c>
      <c r="H275" s="186">
        <f>G275*10%+G275</f>
        <v>4.2857099999999999</v>
      </c>
      <c r="I275" s="161">
        <f t="shared" si="7"/>
        <v>4.7142809999999997</v>
      </c>
      <c r="J275" s="161">
        <f t="shared" si="7"/>
        <v>5.1857090999999995</v>
      </c>
      <c r="K275" s="161">
        <f t="shared" si="7"/>
        <v>5.7042800099999997</v>
      </c>
    </row>
    <row r="276" spans="1:11" ht="16" thickBot="1">
      <c r="A276" s="192"/>
      <c r="B276" s="195"/>
      <c r="C276" s="200" t="s">
        <v>214</v>
      </c>
      <c r="D276" s="198"/>
      <c r="E276" s="198"/>
      <c r="F276" s="196">
        <v>3.99</v>
      </c>
      <c r="G276" s="186">
        <f>+F276*1.11</f>
        <v>4.4289000000000005</v>
      </c>
      <c r="H276" s="186">
        <f>G276*10%+G276</f>
        <v>4.8717900000000007</v>
      </c>
      <c r="I276" s="161">
        <f t="shared" si="7"/>
        <v>5.358969000000001</v>
      </c>
      <c r="J276" s="161">
        <f t="shared" si="7"/>
        <v>5.894865900000001</v>
      </c>
      <c r="K276" s="161">
        <f t="shared" si="7"/>
        <v>6.4843524900000009</v>
      </c>
    </row>
    <row r="277" spans="1:11" ht="16" thickBot="1">
      <c r="A277" s="192"/>
      <c r="B277" s="195"/>
      <c r="C277" s="200"/>
      <c r="D277" s="198"/>
      <c r="E277" s="198"/>
      <c r="F277" s="196"/>
      <c r="G277" s="196"/>
      <c r="H277" s="196"/>
      <c r="I277" s="196"/>
      <c r="J277" s="196"/>
      <c r="K277" s="196"/>
    </row>
    <row r="278" spans="1:11" ht="16" thickBot="1">
      <c r="A278" s="192"/>
      <c r="B278" s="195"/>
      <c r="C278" s="201" t="s">
        <v>215</v>
      </c>
      <c r="D278" s="198"/>
      <c r="E278" s="198"/>
      <c r="F278" s="196"/>
      <c r="G278" s="196"/>
      <c r="H278" s="196"/>
      <c r="I278" s="196"/>
      <c r="J278" s="196"/>
      <c r="K278" s="196"/>
    </row>
    <row r="279" spans="1:11" ht="16" thickBot="1">
      <c r="A279" s="192"/>
      <c r="B279" s="195"/>
      <c r="C279" s="202" t="s">
        <v>216</v>
      </c>
      <c r="D279" s="198"/>
      <c r="E279" s="198"/>
      <c r="F279" s="196">
        <v>49.79</v>
      </c>
      <c r="G279" s="186">
        <f>+F279*1.11</f>
        <v>55.266900000000007</v>
      </c>
      <c r="H279" s="186">
        <f>G279*10%+G279</f>
        <v>60.793590000000009</v>
      </c>
      <c r="I279" s="161">
        <f>H279*10%+H279</f>
        <v>66.872949000000006</v>
      </c>
      <c r="J279" s="161">
        <f>I279*10%+I279</f>
        <v>73.560243900000003</v>
      </c>
      <c r="K279" s="161">
        <f>J279*10%+J279</f>
        <v>80.916268290000005</v>
      </c>
    </row>
    <row r="280" spans="1:11" ht="16" thickBot="1">
      <c r="A280" s="192"/>
      <c r="B280" s="195"/>
      <c r="C280" s="200"/>
      <c r="D280" s="198"/>
      <c r="E280" s="198"/>
      <c r="F280" s="196"/>
      <c r="G280" s="196"/>
      <c r="H280" s="196"/>
      <c r="I280" s="196"/>
      <c r="J280" s="196"/>
      <c r="K280" s="196"/>
    </row>
    <row r="281" spans="1:11" ht="16" thickBot="1">
      <c r="A281" s="192"/>
      <c r="B281" s="195"/>
      <c r="C281" s="201" t="s">
        <v>217</v>
      </c>
      <c r="D281" s="198"/>
      <c r="E281" s="198"/>
      <c r="F281" s="196"/>
      <c r="G281" s="196"/>
      <c r="H281" s="196"/>
      <c r="I281" s="196"/>
      <c r="J281" s="196"/>
      <c r="K281" s="196"/>
    </row>
    <row r="282" spans="1:11" ht="16" thickBot="1">
      <c r="A282" s="192"/>
      <c r="B282" s="195"/>
      <c r="C282" s="195" t="s">
        <v>208</v>
      </c>
      <c r="D282" s="198"/>
      <c r="E282" s="198"/>
      <c r="F282" s="196">
        <v>0</v>
      </c>
      <c r="G282" s="196">
        <v>0</v>
      </c>
      <c r="H282" s="196">
        <v>0</v>
      </c>
      <c r="I282" s="196">
        <v>0</v>
      </c>
      <c r="J282" s="196">
        <v>0</v>
      </c>
      <c r="K282" s="196">
        <v>0</v>
      </c>
    </row>
    <row r="283" spans="1:11" ht="16" thickBot="1">
      <c r="A283" s="192"/>
      <c r="B283" s="195"/>
      <c r="C283" s="195" t="s">
        <v>209</v>
      </c>
      <c r="D283" s="198"/>
      <c r="E283" s="198"/>
      <c r="F283" s="196">
        <v>4.47</v>
      </c>
      <c r="G283" s="186">
        <f>+F283*1.11</f>
        <v>4.9617000000000004</v>
      </c>
      <c r="H283" s="186">
        <f>G283*10%+G283</f>
        <v>5.4578700000000007</v>
      </c>
      <c r="I283" s="161">
        <f>H283*10%+H283</f>
        <v>6.0036570000000005</v>
      </c>
      <c r="J283" s="161">
        <f>I283*10%+I283</f>
        <v>6.6040227000000007</v>
      </c>
      <c r="K283" s="161">
        <f>J283*10%+J283</f>
        <v>7.2644249700000003</v>
      </c>
    </row>
    <row r="284" spans="1:11" ht="16" thickBot="1">
      <c r="A284" s="192"/>
      <c r="B284" s="195"/>
      <c r="C284" s="200"/>
      <c r="D284" s="198"/>
      <c r="E284" s="198"/>
      <c r="F284" s="196"/>
      <c r="G284" s="196"/>
      <c r="H284" s="196"/>
      <c r="I284" s="196"/>
      <c r="J284" s="196"/>
      <c r="K284" s="196"/>
    </row>
    <row r="285" spans="1:11" ht="16" thickBot="1">
      <c r="A285" s="192"/>
      <c r="B285" s="195"/>
      <c r="C285" s="201" t="s">
        <v>218</v>
      </c>
      <c r="D285" s="198"/>
      <c r="E285" s="198"/>
      <c r="F285" s="196"/>
      <c r="G285" s="196"/>
      <c r="H285" s="196"/>
      <c r="I285" s="196"/>
      <c r="J285" s="196"/>
      <c r="K285" s="196"/>
    </row>
    <row r="286" spans="1:11" ht="16" thickBot="1">
      <c r="A286" s="192"/>
      <c r="B286" s="195"/>
      <c r="C286" s="202" t="s">
        <v>216</v>
      </c>
      <c r="D286" s="198"/>
      <c r="E286" s="198"/>
      <c r="F286" s="196">
        <v>27.23</v>
      </c>
      <c r="G286" s="186">
        <f>+F286*1.11</f>
        <v>30.225300000000004</v>
      </c>
      <c r="H286" s="186">
        <f>G286*10%+G286</f>
        <v>33.247830000000008</v>
      </c>
      <c r="I286" s="161">
        <f>H286*10%+H286</f>
        <v>36.572613000000011</v>
      </c>
      <c r="J286" s="161">
        <f>I286*10%+I286</f>
        <v>40.229874300000013</v>
      </c>
      <c r="K286" s="161">
        <f>J286*10%+J286</f>
        <v>44.252861730000014</v>
      </c>
    </row>
    <row r="287" spans="1:11" ht="16" thickBot="1">
      <c r="A287" s="192"/>
      <c r="B287" s="195"/>
      <c r="C287" s="200"/>
      <c r="D287" s="198"/>
      <c r="E287" s="198"/>
      <c r="F287" s="196"/>
      <c r="G287" s="196"/>
      <c r="H287" s="196"/>
      <c r="I287" s="196"/>
      <c r="J287" s="196"/>
      <c r="K287" s="196"/>
    </row>
    <row r="288" spans="1:11" ht="16" thickBot="1">
      <c r="A288" s="192"/>
      <c r="B288" s="195"/>
      <c r="C288" s="201" t="s">
        <v>219</v>
      </c>
      <c r="D288" s="198"/>
      <c r="E288" s="198"/>
      <c r="F288" s="196"/>
      <c r="G288" s="196"/>
      <c r="H288" s="196"/>
      <c r="I288" s="196"/>
      <c r="J288" s="196"/>
      <c r="K288" s="196"/>
    </row>
    <row r="289" spans="1:11" ht="15" thickBot="1">
      <c r="A289" s="192"/>
      <c r="B289" s="195"/>
      <c r="C289" s="200" t="s">
        <v>220</v>
      </c>
      <c r="D289" s="198"/>
      <c r="E289" s="198"/>
      <c r="F289" s="186">
        <f>+E289*1.11</f>
        <v>0</v>
      </c>
      <c r="G289" s="186">
        <f>+F289*1.11</f>
        <v>0</v>
      </c>
      <c r="H289" s="186">
        <f t="shared" ref="H289:K291" si="8">G289*10%+G289</f>
        <v>0</v>
      </c>
      <c r="I289" s="161">
        <f t="shared" si="8"/>
        <v>0</v>
      </c>
      <c r="J289" s="161">
        <f t="shared" si="8"/>
        <v>0</v>
      </c>
      <c r="K289" s="161">
        <f t="shared" si="8"/>
        <v>0</v>
      </c>
    </row>
    <row r="290" spans="1:11" ht="16" thickBot="1">
      <c r="A290" s="192"/>
      <c r="B290" s="195"/>
      <c r="C290" s="200" t="s">
        <v>244</v>
      </c>
      <c r="D290" s="198"/>
      <c r="E290" s="198"/>
      <c r="F290" s="196">
        <v>4.4400000000000004</v>
      </c>
      <c r="G290" s="186">
        <f>+F290*1.11</f>
        <v>4.9284000000000008</v>
      </c>
      <c r="H290" s="186">
        <f t="shared" si="8"/>
        <v>5.4212400000000009</v>
      </c>
      <c r="I290" s="161">
        <f t="shared" si="8"/>
        <v>5.9633640000000012</v>
      </c>
      <c r="J290" s="161">
        <f t="shared" si="8"/>
        <v>6.5597004000000014</v>
      </c>
      <c r="K290" s="161">
        <f t="shared" si="8"/>
        <v>7.215670440000002</v>
      </c>
    </row>
    <row r="291" spans="1:11" ht="16" thickBot="1">
      <c r="A291" s="192"/>
      <c r="B291" s="195"/>
      <c r="C291" s="200" t="s">
        <v>214</v>
      </c>
      <c r="D291" s="198"/>
      <c r="E291" s="198"/>
      <c r="F291" s="196">
        <v>4.74</v>
      </c>
      <c r="G291" s="186">
        <f>+F291*1.11</f>
        <v>5.261400000000001</v>
      </c>
      <c r="H291" s="186">
        <f t="shared" si="8"/>
        <v>5.7875400000000008</v>
      </c>
      <c r="I291" s="161">
        <f t="shared" si="8"/>
        <v>6.3662940000000008</v>
      </c>
      <c r="J291" s="161">
        <f t="shared" si="8"/>
        <v>7.0029234000000011</v>
      </c>
      <c r="K291" s="161">
        <f t="shared" si="8"/>
        <v>7.703215740000001</v>
      </c>
    </row>
    <row r="292" spans="1:11" ht="16" thickBot="1">
      <c r="A292" s="192"/>
      <c r="B292" s="193" t="s">
        <v>221</v>
      </c>
      <c r="C292" s="194" t="s">
        <v>222</v>
      </c>
      <c r="D292" s="198"/>
      <c r="E292" s="198"/>
      <c r="F292" s="196"/>
      <c r="G292" s="196"/>
      <c r="H292" s="196"/>
      <c r="I292" s="196"/>
      <c r="J292" s="196"/>
      <c r="K292" s="196"/>
    </row>
    <row r="293" spans="1:11" ht="16" thickBot="1">
      <c r="A293" s="192"/>
      <c r="B293" s="193"/>
      <c r="C293" s="195" t="s">
        <v>208</v>
      </c>
      <c r="D293" s="198"/>
      <c r="E293" s="198"/>
      <c r="F293" s="196">
        <v>73.56</v>
      </c>
      <c r="G293" s="186">
        <f>+F293*1.11</f>
        <v>81.651600000000016</v>
      </c>
      <c r="H293" s="186">
        <f>G293*10%+G293</f>
        <v>89.816760000000016</v>
      </c>
      <c r="I293" s="161">
        <f>H293*10%+H293</f>
        <v>98.798436000000024</v>
      </c>
      <c r="J293" s="161">
        <f>I293*10%+I293</f>
        <v>108.67827960000002</v>
      </c>
      <c r="K293" s="161">
        <f>J293*10%+J293</f>
        <v>119.54610756000002</v>
      </c>
    </row>
    <row r="294" spans="1:11" ht="16" thickBot="1">
      <c r="A294" s="192"/>
      <c r="B294" s="193"/>
      <c r="C294" s="199"/>
      <c r="D294" s="195"/>
      <c r="E294" s="195"/>
      <c r="F294" s="196"/>
      <c r="G294" s="196"/>
      <c r="H294" s="196"/>
      <c r="I294" s="196"/>
      <c r="J294" s="196"/>
      <c r="K294" s="196"/>
    </row>
    <row r="295" spans="1:11" ht="16" thickBot="1">
      <c r="A295" s="192"/>
      <c r="B295" s="195"/>
      <c r="C295" s="200" t="s">
        <v>220</v>
      </c>
      <c r="D295" s="198"/>
      <c r="E295" s="198"/>
      <c r="F295" s="196">
        <v>2.73</v>
      </c>
      <c r="G295" s="186">
        <f>+F295*1.11</f>
        <v>3.0303000000000004</v>
      </c>
      <c r="H295" s="186">
        <f t="shared" ref="H295:K298" si="9">G295*10%+G295</f>
        <v>3.3333300000000006</v>
      </c>
      <c r="I295" s="161">
        <f t="shared" si="9"/>
        <v>3.6666630000000007</v>
      </c>
      <c r="J295" s="161">
        <f t="shared" si="9"/>
        <v>4.033329300000001</v>
      </c>
      <c r="K295" s="161">
        <f t="shared" si="9"/>
        <v>4.4366622300000014</v>
      </c>
    </row>
    <row r="296" spans="1:11" ht="16" thickBot="1">
      <c r="A296" s="192"/>
      <c r="B296" s="195"/>
      <c r="C296" s="200" t="s">
        <v>223</v>
      </c>
      <c r="D296" s="198"/>
      <c r="E296" s="198"/>
      <c r="F296" s="196">
        <v>3.4</v>
      </c>
      <c r="G296" s="186">
        <f t="shared" ref="G296:G302" si="10">+F296*1.11</f>
        <v>3.774</v>
      </c>
      <c r="H296" s="186">
        <f t="shared" si="9"/>
        <v>4.1513999999999998</v>
      </c>
      <c r="I296" s="161">
        <f t="shared" si="9"/>
        <v>4.5665399999999998</v>
      </c>
      <c r="J296" s="161">
        <f t="shared" si="9"/>
        <v>5.0231940000000002</v>
      </c>
      <c r="K296" s="161">
        <f t="shared" si="9"/>
        <v>5.5255134000000004</v>
      </c>
    </row>
    <row r="297" spans="1:11" ht="16" thickBot="1">
      <c r="A297" s="192"/>
      <c r="B297" s="195"/>
      <c r="C297" s="200" t="s">
        <v>214</v>
      </c>
      <c r="D297" s="198"/>
      <c r="E297" s="198"/>
      <c r="F297" s="196">
        <v>4.28</v>
      </c>
      <c r="G297" s="186">
        <f t="shared" si="10"/>
        <v>4.7508000000000008</v>
      </c>
      <c r="H297" s="186">
        <f t="shared" si="9"/>
        <v>5.225880000000001</v>
      </c>
      <c r="I297" s="161">
        <f t="shared" si="9"/>
        <v>5.7484680000000008</v>
      </c>
      <c r="J297" s="161">
        <f t="shared" si="9"/>
        <v>6.3233148000000012</v>
      </c>
      <c r="K297" s="161">
        <f t="shared" si="9"/>
        <v>6.9556462800000016</v>
      </c>
    </row>
    <row r="298" spans="1:11" ht="16" thickBot="1">
      <c r="A298" s="192"/>
      <c r="B298" s="195"/>
      <c r="C298" s="202" t="s">
        <v>224</v>
      </c>
      <c r="D298" s="203"/>
      <c r="E298" s="196"/>
      <c r="F298" s="196">
        <v>4.26</v>
      </c>
      <c r="G298" s="186">
        <f t="shared" si="10"/>
        <v>4.7286000000000001</v>
      </c>
      <c r="H298" s="186">
        <f t="shared" si="9"/>
        <v>5.20146</v>
      </c>
      <c r="I298" s="161">
        <f t="shared" si="9"/>
        <v>5.7216059999999995</v>
      </c>
      <c r="J298" s="161">
        <f t="shared" si="9"/>
        <v>6.2937665999999997</v>
      </c>
      <c r="K298" s="161">
        <f t="shared" si="9"/>
        <v>6.9231432599999998</v>
      </c>
    </row>
    <row r="299" spans="1:11" ht="16" thickBot="1">
      <c r="A299" s="192"/>
      <c r="B299" s="195"/>
      <c r="C299" s="199"/>
      <c r="D299" s="195"/>
      <c r="E299" s="195"/>
      <c r="F299" s="196"/>
      <c r="G299" s="196"/>
      <c r="H299" s="196"/>
      <c r="I299" s="196"/>
      <c r="J299" s="196"/>
      <c r="K299" s="196"/>
    </row>
    <row r="300" spans="1:11" ht="16" thickBot="1">
      <c r="A300" s="192"/>
      <c r="B300" s="193" t="s">
        <v>225</v>
      </c>
      <c r="C300" s="202" t="s">
        <v>226</v>
      </c>
      <c r="D300" s="198"/>
      <c r="E300" s="198"/>
      <c r="F300" s="196">
        <v>36.4</v>
      </c>
      <c r="G300" s="186">
        <f t="shared" si="10"/>
        <v>40.404000000000003</v>
      </c>
      <c r="H300" s="186">
        <f>G300*10%+G300</f>
        <v>44.444400000000002</v>
      </c>
      <c r="I300" s="161">
        <f>H300*10%+H300</f>
        <v>48.888840000000002</v>
      </c>
      <c r="J300" s="161">
        <f>I300*10%+I300</f>
        <v>53.777724000000006</v>
      </c>
      <c r="K300" s="161">
        <f>J300*10%+J300</f>
        <v>59.155496400000004</v>
      </c>
    </row>
    <row r="301" spans="1:11" ht="16" thickBot="1">
      <c r="A301" s="192"/>
      <c r="B301" s="193"/>
      <c r="C301" s="202"/>
      <c r="D301" s="198"/>
      <c r="E301" s="198"/>
      <c r="F301" s="196"/>
      <c r="G301" s="196"/>
      <c r="H301" s="196"/>
      <c r="I301" s="196"/>
      <c r="J301" s="196"/>
      <c r="K301" s="196"/>
    </row>
    <row r="302" spans="1:11" ht="16" thickBot="1">
      <c r="A302" s="192"/>
      <c r="B302" s="193" t="s">
        <v>227</v>
      </c>
      <c r="C302" s="202" t="s">
        <v>228</v>
      </c>
      <c r="D302" s="204"/>
      <c r="E302" s="204"/>
      <c r="F302" s="205">
        <v>200</v>
      </c>
      <c r="G302" s="186">
        <f t="shared" si="10"/>
        <v>222.00000000000003</v>
      </c>
      <c r="H302" s="186">
        <f>G302*10%+G302</f>
        <v>244.20000000000005</v>
      </c>
      <c r="I302" s="161">
        <f>H302*10%+H302</f>
        <v>268.62000000000006</v>
      </c>
      <c r="J302" s="161">
        <f>I302*10%+I302</f>
        <v>295.48200000000008</v>
      </c>
      <c r="K302" s="161">
        <f>J302*10%+J302</f>
        <v>325.03020000000009</v>
      </c>
    </row>
    <row r="303" spans="1:11" ht="16" thickBot="1">
      <c r="A303" s="192"/>
      <c r="B303" s="195"/>
      <c r="C303" s="195"/>
      <c r="D303" s="195"/>
      <c r="E303" s="195"/>
      <c r="F303" s="196"/>
      <c r="G303" s="196"/>
      <c r="H303" s="196"/>
      <c r="I303" s="196"/>
      <c r="J303" s="196"/>
      <c r="K303" s="196"/>
    </row>
    <row r="304" spans="1:11">
      <c r="A304" s="62"/>
      <c r="B304" s="61" t="s">
        <v>29</v>
      </c>
      <c r="I304" s="13"/>
      <c r="J304" s="13"/>
      <c r="K304" s="13"/>
    </row>
    <row r="305" spans="1:11" ht="16" thickBot="1">
      <c r="A305" s="192"/>
      <c r="B305" s="206"/>
      <c r="C305" s="206"/>
      <c r="D305" s="206"/>
      <c r="E305" s="206"/>
      <c r="F305" s="207"/>
      <c r="G305" s="207"/>
      <c r="H305" s="207"/>
      <c r="I305" s="207"/>
      <c r="J305" s="207"/>
      <c r="K305" s="207"/>
    </row>
    <row r="306" spans="1:11" ht="31" hidden="1" thickBot="1">
      <c r="A306" s="3"/>
      <c r="B306" s="9"/>
      <c r="C306" s="10"/>
      <c r="D306" s="11"/>
      <c r="E306" s="12" t="s">
        <v>3</v>
      </c>
      <c r="F306" s="12" t="s">
        <v>4</v>
      </c>
      <c r="G306" s="12" t="s">
        <v>5</v>
      </c>
      <c r="H306" s="12" t="s">
        <v>32</v>
      </c>
      <c r="I306" s="12" t="s">
        <v>7</v>
      </c>
      <c r="J306" s="12" t="s">
        <v>8</v>
      </c>
      <c r="K306" s="64" t="s">
        <v>9</v>
      </c>
    </row>
    <row r="307" spans="1:11" ht="16.5" hidden="1" customHeight="1" thickBot="1">
      <c r="A307" s="3"/>
      <c r="B307" s="965" t="s">
        <v>30</v>
      </c>
      <c r="C307" s="966"/>
      <c r="D307" s="967"/>
      <c r="E307" s="968" t="s">
        <v>30</v>
      </c>
      <c r="F307" s="969"/>
      <c r="G307" s="969"/>
      <c r="H307" s="969"/>
      <c r="I307" s="969"/>
      <c r="J307" s="969"/>
      <c r="K307" s="13"/>
    </row>
    <row r="308" spans="1:11" s="149" customFormat="1" ht="15" hidden="1" thickBot="1">
      <c r="C308" s="150"/>
      <c r="D308" s="151"/>
      <c r="E308" s="152"/>
      <c r="F308" s="152"/>
      <c r="G308" s="152"/>
      <c r="H308" s="151"/>
      <c r="I308" s="151"/>
      <c r="J308" s="151"/>
      <c r="K308" s="151"/>
    </row>
    <row r="309" spans="1:11" s="149" customFormat="1" ht="31" thickBot="1">
      <c r="A309" s="153"/>
      <c r="B309" s="9" t="s">
        <v>31</v>
      </c>
      <c r="C309" s="10"/>
      <c r="D309" s="11"/>
      <c r="E309" s="64" t="s">
        <v>3</v>
      </c>
      <c r="F309" s="64" t="s">
        <v>4</v>
      </c>
      <c r="G309" s="64" t="s">
        <v>5</v>
      </c>
      <c r="H309" s="64" t="s">
        <v>32</v>
      </c>
      <c r="I309" s="64" t="s">
        <v>7</v>
      </c>
      <c r="J309" s="64" t="s">
        <v>8</v>
      </c>
      <c r="K309" s="350" t="s">
        <v>9</v>
      </c>
    </row>
    <row r="310" spans="1:11" ht="16" thickBot="1">
      <c r="A310" s="192"/>
      <c r="B310" s="193"/>
      <c r="C310" s="195"/>
      <c r="D310" s="195"/>
      <c r="E310" s="195"/>
      <c r="F310" s="196"/>
      <c r="G310" s="196"/>
      <c r="H310" s="196"/>
      <c r="I310" s="196"/>
      <c r="J310" s="196"/>
      <c r="K310" s="196"/>
    </row>
    <row r="311" spans="1:11" ht="16" thickBot="1">
      <c r="A311" s="192"/>
      <c r="B311" s="193" t="s">
        <v>205</v>
      </c>
      <c r="C311" s="195" t="s">
        <v>230</v>
      </c>
      <c r="D311" s="198"/>
      <c r="E311" s="198"/>
      <c r="F311" s="196">
        <v>32</v>
      </c>
      <c r="G311" s="186">
        <f>+F311*1.11</f>
        <v>35.520000000000003</v>
      </c>
      <c r="H311" s="186">
        <f>G311*10%+G311</f>
        <v>39.072000000000003</v>
      </c>
      <c r="I311" s="161">
        <f>H311*10%+H311</f>
        <v>42.979200000000006</v>
      </c>
      <c r="J311" s="161">
        <f>I311*10%+I311</f>
        <v>47.277120000000004</v>
      </c>
      <c r="K311" s="161">
        <f>J311*10%+J311</f>
        <v>52.004832000000007</v>
      </c>
    </row>
    <row r="312" spans="1:11" ht="16" thickBot="1">
      <c r="A312" s="192"/>
      <c r="B312" s="195"/>
      <c r="C312" s="202"/>
      <c r="D312" s="198"/>
      <c r="E312" s="198"/>
      <c r="F312" s="196"/>
      <c r="G312" s="196"/>
      <c r="H312" s="196"/>
      <c r="I312" s="196"/>
      <c r="J312" s="196"/>
      <c r="K312" s="196"/>
    </row>
    <row r="313" spans="1:11" ht="16" thickBot="1">
      <c r="A313" s="192"/>
      <c r="B313" s="195"/>
      <c r="C313" s="202"/>
      <c r="D313" s="198"/>
      <c r="E313" s="198"/>
      <c r="F313" s="196"/>
      <c r="G313" s="196"/>
      <c r="H313" s="196"/>
      <c r="I313" s="196"/>
      <c r="J313" s="196"/>
      <c r="K313" s="196"/>
    </row>
    <row r="314" spans="1:11" ht="16" thickBot="1">
      <c r="A314" s="192"/>
      <c r="B314" s="195"/>
      <c r="C314" s="195" t="s">
        <v>231</v>
      </c>
      <c r="D314" s="198"/>
      <c r="E314" s="198"/>
      <c r="F314" s="196">
        <v>60</v>
      </c>
      <c r="G314" s="186">
        <f>+F314*1.11</f>
        <v>66.600000000000009</v>
      </c>
      <c r="H314" s="186">
        <f>G314*10%+G314</f>
        <v>73.260000000000005</v>
      </c>
      <c r="I314" s="161">
        <f>H314*10%+H314</f>
        <v>80.586000000000013</v>
      </c>
      <c r="J314" s="161">
        <f>I314*10%+I314</f>
        <v>88.644600000000011</v>
      </c>
      <c r="K314" s="161">
        <f>J314*10%+J314</f>
        <v>97.509060000000005</v>
      </c>
    </row>
    <row r="315" spans="1:11" ht="16" thickBot="1">
      <c r="A315" s="192"/>
      <c r="B315" s="195"/>
      <c r="C315" s="202"/>
      <c r="D315" s="198"/>
      <c r="E315" s="198"/>
      <c r="F315" s="196"/>
      <c r="G315" s="196"/>
      <c r="H315" s="196"/>
      <c r="I315" s="196"/>
      <c r="J315" s="196"/>
      <c r="K315" s="196"/>
    </row>
    <row r="316" spans="1:11" ht="16" thickBot="1">
      <c r="A316" s="192"/>
      <c r="B316" s="195"/>
      <c r="C316" s="202"/>
      <c r="D316" s="198"/>
      <c r="E316" s="198"/>
      <c r="F316" s="196"/>
      <c r="G316" s="196"/>
      <c r="H316" s="196"/>
      <c r="I316" s="196"/>
      <c r="J316" s="196"/>
      <c r="K316" s="196"/>
    </row>
    <row r="317" spans="1:11" ht="16" thickBot="1">
      <c r="A317" s="192"/>
      <c r="B317" s="193" t="s">
        <v>221</v>
      </c>
      <c r="C317" s="194" t="s">
        <v>232</v>
      </c>
      <c r="D317" s="198"/>
      <c r="E317" s="198"/>
      <c r="F317" s="196"/>
      <c r="G317" s="196"/>
      <c r="H317" s="196"/>
      <c r="I317" s="196"/>
      <c r="J317" s="196"/>
      <c r="K317" s="196"/>
    </row>
    <row r="318" spans="1:11" ht="16" thickBot="1">
      <c r="A318" s="192"/>
      <c r="B318" s="195"/>
      <c r="C318" s="202" t="s">
        <v>15</v>
      </c>
      <c r="D318" s="198"/>
      <c r="E318" s="198"/>
      <c r="F318" s="196"/>
      <c r="G318" s="196"/>
      <c r="H318" s="196"/>
      <c r="I318" s="196"/>
      <c r="J318" s="196"/>
      <c r="K318" s="196"/>
    </row>
    <row r="319" spans="1:11" ht="16" thickBot="1">
      <c r="A319" s="192"/>
      <c r="B319" s="195"/>
      <c r="C319" s="200" t="s">
        <v>233</v>
      </c>
      <c r="D319" s="198"/>
      <c r="E319" s="198"/>
      <c r="F319" s="196">
        <v>5</v>
      </c>
      <c r="G319" s="186">
        <f>+F319*1.11</f>
        <v>5.5500000000000007</v>
      </c>
      <c r="H319" s="186">
        <f t="shared" ref="H319:K320" si="11">G319*10%+G319</f>
        <v>6.1050000000000004</v>
      </c>
      <c r="I319" s="161">
        <f t="shared" si="11"/>
        <v>6.7155000000000005</v>
      </c>
      <c r="J319" s="161">
        <f t="shared" si="11"/>
        <v>7.3870500000000003</v>
      </c>
      <c r="K319" s="161">
        <f t="shared" si="11"/>
        <v>8.1257549999999998</v>
      </c>
    </row>
    <row r="320" spans="1:11" ht="16" thickBot="1">
      <c r="A320" s="192"/>
      <c r="B320" s="195"/>
      <c r="C320" s="200" t="s">
        <v>234</v>
      </c>
      <c r="D320" s="198"/>
      <c r="E320" s="198"/>
      <c r="F320" s="196">
        <v>5</v>
      </c>
      <c r="G320" s="186">
        <f>+F320*1.11</f>
        <v>5.5500000000000007</v>
      </c>
      <c r="H320" s="186">
        <f t="shared" si="11"/>
        <v>6.1050000000000004</v>
      </c>
      <c r="I320" s="161">
        <f t="shared" si="11"/>
        <v>6.7155000000000005</v>
      </c>
      <c r="J320" s="161">
        <f t="shared" si="11"/>
        <v>7.3870500000000003</v>
      </c>
      <c r="K320" s="161">
        <f t="shared" si="11"/>
        <v>8.1257549999999998</v>
      </c>
    </row>
    <row r="321" spans="1:11" ht="16" thickBot="1">
      <c r="A321" s="192"/>
      <c r="B321" s="195"/>
      <c r="C321" s="200"/>
      <c r="D321" s="198"/>
      <c r="E321" s="198"/>
      <c r="F321" s="196"/>
      <c r="G321" s="196"/>
      <c r="H321" s="196"/>
      <c r="I321" s="196"/>
      <c r="J321" s="196"/>
      <c r="K321" s="196"/>
    </row>
    <row r="322" spans="1:11" ht="16" thickBot="1">
      <c r="A322" s="192"/>
      <c r="B322" s="195"/>
      <c r="C322" s="202" t="s">
        <v>235</v>
      </c>
      <c r="D322" s="198"/>
      <c r="E322" s="198"/>
      <c r="F322" s="196">
        <v>19.95</v>
      </c>
      <c r="G322" s="186">
        <f>+F322*1.11</f>
        <v>22.144500000000001</v>
      </c>
      <c r="H322" s="186">
        <f>G322*10%+G322</f>
        <v>24.35895</v>
      </c>
      <c r="I322" s="161">
        <f>H322*10%+H322</f>
        <v>26.794845000000002</v>
      </c>
      <c r="J322" s="161">
        <f>I322*10%+I322</f>
        <v>29.474329500000003</v>
      </c>
      <c r="K322" s="161">
        <f>J322*10%+J322</f>
        <v>32.421762450000003</v>
      </c>
    </row>
    <row r="323" spans="1:11" ht="16" thickBot="1">
      <c r="A323" s="192"/>
      <c r="B323" s="195"/>
      <c r="C323" s="200"/>
      <c r="D323" s="198"/>
      <c r="E323" s="198"/>
      <c r="F323" s="196"/>
      <c r="G323" s="196"/>
      <c r="H323" s="196"/>
      <c r="I323" s="196"/>
      <c r="J323" s="196"/>
      <c r="K323" s="196"/>
    </row>
    <row r="324" spans="1:11" ht="16" thickBot="1">
      <c r="A324" s="192"/>
      <c r="B324" s="195"/>
      <c r="C324" s="202" t="s">
        <v>224</v>
      </c>
      <c r="D324" s="198"/>
      <c r="E324" s="198"/>
      <c r="F324" s="196">
        <v>4.7</v>
      </c>
      <c r="G324" s="186">
        <f>+F324*1.11</f>
        <v>5.2170000000000005</v>
      </c>
      <c r="H324" s="186">
        <f>G324*10%+G324</f>
        <v>5.7387000000000006</v>
      </c>
      <c r="I324" s="161">
        <f>H324*10%+H324</f>
        <v>6.3125700000000009</v>
      </c>
      <c r="J324" s="161">
        <f>I324*10%+I324</f>
        <v>6.9438270000000006</v>
      </c>
      <c r="K324" s="161">
        <f>J324*10%+J324</f>
        <v>7.6382097000000009</v>
      </c>
    </row>
    <row r="325" spans="1:11" ht="16" thickBot="1">
      <c r="A325" s="192"/>
      <c r="B325" s="195"/>
      <c r="C325" s="202"/>
      <c r="D325" s="198"/>
      <c r="E325" s="198"/>
      <c r="F325" s="196"/>
      <c r="G325" s="208"/>
      <c r="H325" s="196"/>
      <c r="I325" s="208"/>
      <c r="J325" s="208"/>
      <c r="K325" s="208"/>
    </row>
    <row r="326" spans="1:11" ht="16" thickBot="1">
      <c r="A326" s="192"/>
      <c r="B326" s="193" t="s">
        <v>225</v>
      </c>
      <c r="C326" s="209" t="s">
        <v>236</v>
      </c>
      <c r="D326" s="198"/>
      <c r="E326" s="198"/>
      <c r="F326" s="196"/>
      <c r="G326" s="196"/>
      <c r="H326" s="196"/>
      <c r="I326" s="196"/>
      <c r="J326" s="196"/>
      <c r="K326" s="196"/>
    </row>
    <row r="327" spans="1:11" ht="15" thickBot="1">
      <c r="A327" s="192"/>
      <c r="B327" s="195"/>
      <c r="C327" s="195"/>
      <c r="D327" s="198"/>
      <c r="E327" s="198"/>
      <c r="F327" s="198"/>
      <c r="G327" s="198"/>
      <c r="H327" s="198"/>
      <c r="I327" s="198"/>
      <c r="J327" s="198"/>
      <c r="K327" s="198"/>
    </row>
    <row r="328" spans="1:11" ht="15" thickBot="1">
      <c r="A328" s="192"/>
      <c r="B328" s="193" t="s">
        <v>237</v>
      </c>
      <c r="C328" s="209" t="s">
        <v>238</v>
      </c>
      <c r="D328" s="198"/>
      <c r="E328" s="198"/>
      <c r="F328" s="198"/>
      <c r="G328" s="198"/>
      <c r="H328" s="198"/>
      <c r="I328" s="198"/>
      <c r="J328" s="198"/>
      <c r="K328" s="198"/>
    </row>
    <row r="329" spans="1:11" ht="15" thickBot="1">
      <c r="A329" s="192"/>
      <c r="B329" s="195"/>
      <c r="C329" s="195" t="s">
        <v>239</v>
      </c>
      <c r="D329" s="198"/>
      <c r="E329" s="198"/>
      <c r="F329" s="198"/>
      <c r="G329" s="198"/>
      <c r="H329" s="198"/>
      <c r="I329" s="198"/>
      <c r="J329" s="198"/>
      <c r="K329" s="198"/>
    </row>
    <row r="330" spans="1:11" ht="15" thickBot="1">
      <c r="A330" s="192"/>
      <c r="B330" s="195"/>
      <c r="C330" s="195"/>
      <c r="D330" s="198"/>
      <c r="E330" s="198"/>
      <c r="F330" s="198"/>
      <c r="G330" s="198"/>
      <c r="H330" s="198"/>
      <c r="I330" s="198"/>
      <c r="J330" s="198"/>
      <c r="K330" s="198"/>
    </row>
    <row r="331" spans="1:11" ht="15" thickBot="1">
      <c r="A331" s="192"/>
      <c r="B331" s="193" t="s">
        <v>240</v>
      </c>
      <c r="C331" s="209" t="s">
        <v>241</v>
      </c>
      <c r="D331" s="198"/>
      <c r="E331" s="198"/>
      <c r="F331" s="195"/>
      <c r="G331" s="195"/>
      <c r="H331" s="195"/>
      <c r="I331" s="195"/>
      <c r="J331" s="195"/>
      <c r="K331" s="195"/>
    </row>
    <row r="332" spans="1:11" ht="15" thickBot="1">
      <c r="A332" s="192"/>
      <c r="B332" s="195"/>
      <c r="C332" s="195" t="s">
        <v>242</v>
      </c>
      <c r="D332" s="198"/>
      <c r="E332" s="198"/>
      <c r="F332" s="195"/>
      <c r="G332" s="195"/>
      <c r="H332" s="195"/>
      <c r="I332" s="195"/>
      <c r="J332" s="195"/>
      <c r="K332" s="195"/>
    </row>
    <row r="333" spans="1:11" ht="15" thickBot="1">
      <c r="A333" s="192"/>
      <c r="B333" s="195"/>
      <c r="C333" s="195"/>
      <c r="D333" s="198"/>
      <c r="E333" s="198"/>
      <c r="F333" s="195"/>
      <c r="G333" s="195"/>
      <c r="H333" s="195"/>
      <c r="I333" s="195"/>
      <c r="J333" s="195"/>
      <c r="K333" s="195"/>
    </row>
    <row r="334" spans="1:11">
      <c r="A334" s="62"/>
      <c r="B334" s="61" t="s">
        <v>29</v>
      </c>
      <c r="I334" s="13"/>
      <c r="J334" s="13"/>
      <c r="K334" s="13"/>
    </row>
    <row r="335" spans="1:11" ht="16" thickBot="1">
      <c r="A335" s="192"/>
      <c r="B335" s="206"/>
      <c r="C335" s="206"/>
      <c r="D335" s="206"/>
      <c r="E335" s="206"/>
      <c r="F335" s="207"/>
      <c r="G335" s="207"/>
      <c r="H335" s="207"/>
      <c r="I335" s="207"/>
      <c r="J335" s="207"/>
      <c r="K335" s="207"/>
    </row>
    <row r="336" spans="1:11" ht="16.5" hidden="1" customHeight="1" thickBot="1">
      <c r="A336" s="3"/>
      <c r="B336" s="975" t="s">
        <v>30</v>
      </c>
      <c r="C336" s="976"/>
      <c r="D336" s="977"/>
      <c r="E336" s="978" t="s">
        <v>30</v>
      </c>
      <c r="F336" s="979"/>
      <c r="G336" s="979"/>
      <c r="H336" s="979"/>
      <c r="I336" s="979"/>
      <c r="J336" s="980"/>
      <c r="K336" s="13"/>
    </row>
    <row r="337" spans="1:11" ht="16.5" hidden="1" customHeight="1" thickBot="1">
      <c r="A337" s="3"/>
      <c r="B337" s="975" t="s">
        <v>10</v>
      </c>
      <c r="C337" s="976"/>
      <c r="D337" s="977"/>
      <c r="E337" s="978" t="s">
        <v>10</v>
      </c>
      <c r="F337" s="979"/>
      <c r="G337" s="979"/>
      <c r="H337" s="979"/>
      <c r="I337" s="979"/>
      <c r="J337" s="980"/>
      <c r="K337" s="13"/>
    </row>
    <row r="338" spans="1:11" ht="31" hidden="1" thickBot="1">
      <c r="A338" s="3"/>
      <c r="B338" s="324" t="s">
        <v>31</v>
      </c>
      <c r="C338" s="286"/>
      <c r="D338" s="287"/>
      <c r="E338" s="288" t="s">
        <v>3</v>
      </c>
      <c r="F338" s="288" t="s">
        <v>4</v>
      </c>
      <c r="G338" s="288" t="s">
        <v>5</v>
      </c>
      <c r="H338" s="288" t="s">
        <v>32</v>
      </c>
      <c r="I338" s="288" t="s">
        <v>7</v>
      </c>
      <c r="J338" s="288" t="s">
        <v>8</v>
      </c>
      <c r="K338" s="64" t="s">
        <v>9</v>
      </c>
    </row>
    <row r="339" spans="1:11" ht="15" hidden="1" thickBot="1">
      <c r="A339" s="3"/>
      <c r="B339" s="26" t="s">
        <v>33</v>
      </c>
      <c r="C339" s="59" t="s">
        <v>34</v>
      </c>
      <c r="D339" s="60"/>
      <c r="E339" s="65" t="s">
        <v>14</v>
      </c>
      <c r="F339" s="65" t="s">
        <v>14</v>
      </c>
      <c r="G339" s="59" t="s">
        <v>14</v>
      </c>
      <c r="H339" s="59" t="s">
        <v>14</v>
      </c>
      <c r="I339" s="59" t="s">
        <v>14</v>
      </c>
      <c r="J339" s="66" t="s">
        <v>14</v>
      </c>
      <c r="K339" s="66" t="s">
        <v>14</v>
      </c>
    </row>
    <row r="340" spans="1:11" ht="15" hidden="1" thickBot="1">
      <c r="A340" s="3"/>
      <c r="B340" s="67" t="s">
        <v>35</v>
      </c>
      <c r="C340" s="40"/>
      <c r="D340" s="41" t="s">
        <v>36</v>
      </c>
      <c r="E340" s="68" t="s">
        <v>36</v>
      </c>
      <c r="F340" s="69"/>
      <c r="G340" s="266"/>
      <c r="H340" s="70"/>
      <c r="I340" s="70"/>
      <c r="J340" s="70">
        <v>0</v>
      </c>
      <c r="K340" s="70">
        <v>0</v>
      </c>
    </row>
    <row r="341" spans="1:11" hidden="1">
      <c r="A341" s="3"/>
      <c r="B341" s="32" t="s">
        <v>35</v>
      </c>
      <c r="C341" s="62" t="s">
        <v>37</v>
      </c>
      <c r="D341" s="63" t="s">
        <v>38</v>
      </c>
      <c r="E341" s="71">
        <v>60</v>
      </c>
      <c r="F341" s="258">
        <v>66</v>
      </c>
      <c r="G341" s="267">
        <v>72.600000000000009</v>
      </c>
      <c r="H341" s="267">
        <f t="shared" ref="H341:H361" si="12">G341*10%+G341</f>
        <v>79.860000000000014</v>
      </c>
      <c r="I341" s="72">
        <v>87.846000000000018</v>
      </c>
      <c r="J341" s="72">
        <v>96.63060000000003</v>
      </c>
      <c r="K341" s="72">
        <v>96.63060000000003</v>
      </c>
    </row>
    <row r="342" spans="1:11" ht="15" hidden="1" thickBot="1">
      <c r="A342" s="3"/>
      <c r="B342" s="73" t="s">
        <v>39</v>
      </c>
      <c r="C342" s="74" t="s">
        <v>40</v>
      </c>
      <c r="D342" s="75" t="s">
        <v>38</v>
      </c>
      <c r="E342" s="76">
        <v>90</v>
      </c>
      <c r="F342" s="259">
        <v>99.000000000000014</v>
      </c>
      <c r="G342" s="268">
        <v>108.90000000000002</v>
      </c>
      <c r="H342" s="268">
        <f t="shared" si="12"/>
        <v>119.79000000000002</v>
      </c>
      <c r="I342" s="77">
        <v>131.76900000000006</v>
      </c>
      <c r="J342" s="77">
        <v>144.94590000000008</v>
      </c>
      <c r="K342" s="77">
        <v>144.94590000000008</v>
      </c>
    </row>
    <row r="343" spans="1:11" ht="15" hidden="1" thickBot="1">
      <c r="A343" s="3"/>
      <c r="B343" s="73" t="s">
        <v>41</v>
      </c>
      <c r="C343" s="62" t="s">
        <v>42</v>
      </c>
      <c r="D343" s="63" t="s">
        <v>43</v>
      </c>
      <c r="E343" s="78">
        <v>60</v>
      </c>
      <c r="F343" s="260">
        <v>66</v>
      </c>
      <c r="G343" s="226">
        <v>72.600000000000009</v>
      </c>
      <c r="H343" s="226">
        <f t="shared" si="12"/>
        <v>79.860000000000014</v>
      </c>
      <c r="I343" s="79">
        <v>87.846000000000018</v>
      </c>
      <c r="J343" s="79">
        <v>96.63060000000003</v>
      </c>
      <c r="K343" s="79">
        <v>96.63060000000003</v>
      </c>
    </row>
    <row r="344" spans="1:11" hidden="1">
      <c r="A344" s="3"/>
      <c r="B344" s="67" t="s">
        <v>44</v>
      </c>
      <c r="C344" s="40"/>
      <c r="D344" s="41" t="s">
        <v>36</v>
      </c>
      <c r="E344" s="80"/>
      <c r="F344" s="261">
        <v>0</v>
      </c>
      <c r="G344" s="269">
        <v>0</v>
      </c>
      <c r="H344" s="269">
        <f t="shared" si="12"/>
        <v>0</v>
      </c>
      <c r="I344" s="81">
        <v>0</v>
      </c>
      <c r="J344" s="81">
        <v>0</v>
      </c>
      <c r="K344" s="81">
        <v>0</v>
      </c>
    </row>
    <row r="345" spans="1:11" hidden="1">
      <c r="A345" s="3"/>
      <c r="B345" s="32" t="s">
        <v>44</v>
      </c>
      <c r="C345" s="37" t="s">
        <v>45</v>
      </c>
      <c r="D345" s="63"/>
      <c r="E345" s="71">
        <v>160</v>
      </c>
      <c r="F345" s="258">
        <v>176</v>
      </c>
      <c r="G345" s="270">
        <v>193.60000000000002</v>
      </c>
      <c r="H345" s="270">
        <f t="shared" si="12"/>
        <v>212.96000000000004</v>
      </c>
      <c r="I345" s="72">
        <v>234.25600000000006</v>
      </c>
      <c r="J345" s="72">
        <v>257.68160000000006</v>
      </c>
      <c r="K345" s="72">
        <v>257.68160000000006</v>
      </c>
    </row>
    <row r="346" spans="1:11" ht="15" hidden="1" thickBot="1">
      <c r="A346" s="3"/>
      <c r="B346" s="82"/>
      <c r="C346" s="74" t="s">
        <v>46</v>
      </c>
      <c r="D346" s="83" t="s">
        <v>47</v>
      </c>
      <c r="E346" s="76">
        <v>200</v>
      </c>
      <c r="F346" s="259">
        <v>220.00000000000003</v>
      </c>
      <c r="G346" s="268">
        <v>242.00000000000006</v>
      </c>
      <c r="H346" s="268">
        <f t="shared" si="12"/>
        <v>266.20000000000005</v>
      </c>
      <c r="I346" s="77">
        <v>292.82000000000016</v>
      </c>
      <c r="J346" s="77">
        <v>322.1020000000002</v>
      </c>
      <c r="K346" s="77">
        <v>322.1020000000002</v>
      </c>
    </row>
    <row r="347" spans="1:11" hidden="1">
      <c r="A347" s="3"/>
      <c r="B347" s="26" t="s">
        <v>48</v>
      </c>
      <c r="C347" s="59" t="s">
        <v>45</v>
      </c>
      <c r="D347" s="60"/>
      <c r="E347" s="84">
        <v>160</v>
      </c>
      <c r="F347" s="262">
        <v>176</v>
      </c>
      <c r="G347" s="267">
        <v>193.60000000000002</v>
      </c>
      <c r="H347" s="267">
        <f t="shared" si="12"/>
        <v>212.96000000000004</v>
      </c>
      <c r="I347" s="85">
        <v>234.25600000000006</v>
      </c>
      <c r="J347" s="85">
        <v>257.68160000000006</v>
      </c>
      <c r="K347" s="85">
        <v>257.68160000000006</v>
      </c>
    </row>
    <row r="348" spans="1:11" ht="15" hidden="1" thickBot="1">
      <c r="A348" s="3"/>
      <c r="B348" s="73" t="s">
        <v>49</v>
      </c>
      <c r="C348" s="74" t="s">
        <v>46</v>
      </c>
      <c r="D348" s="83" t="s">
        <v>47</v>
      </c>
      <c r="E348" s="86">
        <v>200</v>
      </c>
      <c r="F348" s="263">
        <v>220.00000000000003</v>
      </c>
      <c r="G348" s="271">
        <v>242.00000000000006</v>
      </c>
      <c r="H348" s="271">
        <f t="shared" si="12"/>
        <v>266.20000000000005</v>
      </c>
      <c r="I348" s="87">
        <v>292.82000000000016</v>
      </c>
      <c r="J348" s="87">
        <v>322.1020000000002</v>
      </c>
      <c r="K348" s="87">
        <v>322.1020000000002</v>
      </c>
    </row>
    <row r="349" spans="1:11" hidden="1">
      <c r="A349" s="3"/>
      <c r="B349" s="67" t="s">
        <v>18</v>
      </c>
      <c r="C349" s="40"/>
      <c r="D349" s="41" t="s">
        <v>36</v>
      </c>
      <c r="E349" s="80"/>
      <c r="F349" s="261">
        <v>0</v>
      </c>
      <c r="G349" s="269">
        <v>0</v>
      </c>
      <c r="H349" s="269">
        <f t="shared" si="12"/>
        <v>0</v>
      </c>
      <c r="I349" s="81">
        <v>0</v>
      </c>
      <c r="J349" s="81">
        <v>0</v>
      </c>
      <c r="K349" s="81">
        <v>0</v>
      </c>
    </row>
    <row r="350" spans="1:11" ht="15" hidden="1" thickBot="1">
      <c r="A350" s="3"/>
      <c r="B350" s="73" t="s">
        <v>18</v>
      </c>
      <c r="C350" s="74" t="s">
        <v>50</v>
      </c>
      <c r="D350" s="75"/>
      <c r="E350" s="88">
        <v>150</v>
      </c>
      <c r="F350" s="259">
        <v>165</v>
      </c>
      <c r="G350" s="268">
        <v>181.50000000000003</v>
      </c>
      <c r="H350" s="268">
        <f t="shared" si="12"/>
        <v>199.65000000000003</v>
      </c>
      <c r="I350" s="77">
        <v>219.61500000000007</v>
      </c>
      <c r="J350" s="77">
        <v>241.5765000000001</v>
      </c>
      <c r="K350" s="77">
        <v>241.5765000000001</v>
      </c>
    </row>
    <row r="351" spans="1:11" hidden="1">
      <c r="A351" s="3"/>
      <c r="B351" s="67" t="s">
        <v>16</v>
      </c>
      <c r="C351" s="40"/>
      <c r="D351" s="41" t="s">
        <v>36</v>
      </c>
      <c r="E351" s="89"/>
      <c r="F351" s="262">
        <v>0</v>
      </c>
      <c r="G351" s="267">
        <v>0</v>
      </c>
      <c r="H351" s="267">
        <f t="shared" si="12"/>
        <v>0</v>
      </c>
      <c r="I351" s="85">
        <v>0</v>
      </c>
      <c r="J351" s="85">
        <v>0</v>
      </c>
      <c r="K351" s="85">
        <v>0</v>
      </c>
    </row>
    <row r="352" spans="1:11" ht="15" hidden="1" thickBot="1">
      <c r="A352" s="3"/>
      <c r="B352" s="73" t="s">
        <v>51</v>
      </c>
      <c r="C352" s="13"/>
      <c r="D352" s="74" t="s">
        <v>52</v>
      </c>
      <c r="E352" s="90">
        <v>2.5</v>
      </c>
      <c r="F352" s="263">
        <v>2.75</v>
      </c>
      <c r="G352" s="271">
        <v>3.0250000000000004</v>
      </c>
      <c r="H352" s="271">
        <f t="shared" si="12"/>
        <v>3.3275000000000006</v>
      </c>
      <c r="I352" s="87">
        <v>3.6602500000000009</v>
      </c>
      <c r="J352" s="87">
        <v>4.0262750000000009</v>
      </c>
      <c r="K352" s="87">
        <v>4.0262750000000009</v>
      </c>
    </row>
    <row r="353" spans="1:11" hidden="1">
      <c r="A353" s="3"/>
      <c r="B353" s="26" t="s">
        <v>53</v>
      </c>
      <c r="C353" s="59" t="s">
        <v>54</v>
      </c>
      <c r="D353" s="60"/>
      <c r="E353" s="71">
        <v>160</v>
      </c>
      <c r="F353" s="261">
        <v>176</v>
      </c>
      <c r="G353" s="269">
        <v>193.60000000000002</v>
      </c>
      <c r="H353" s="269">
        <f t="shared" si="12"/>
        <v>212.96000000000004</v>
      </c>
      <c r="I353" s="81">
        <v>234.25600000000006</v>
      </c>
      <c r="J353" s="81">
        <v>257.68160000000006</v>
      </c>
      <c r="K353" s="81">
        <v>257.68160000000006</v>
      </c>
    </row>
    <row r="354" spans="1:11" ht="15" hidden="1" thickBot="1">
      <c r="A354" s="3"/>
      <c r="B354" s="91" t="s">
        <v>55</v>
      </c>
      <c r="C354" s="74" t="s">
        <v>46</v>
      </c>
      <c r="D354" s="75"/>
      <c r="E354" s="76">
        <v>90</v>
      </c>
      <c r="F354" s="259">
        <v>99.000000000000014</v>
      </c>
      <c r="G354" s="268">
        <v>108.90000000000002</v>
      </c>
      <c r="H354" s="268">
        <f t="shared" si="12"/>
        <v>119.79000000000002</v>
      </c>
      <c r="I354" s="77">
        <v>131.76900000000006</v>
      </c>
      <c r="J354" s="77">
        <v>144.94590000000008</v>
      </c>
      <c r="K354" s="77">
        <v>144.94590000000008</v>
      </c>
    </row>
    <row r="355" spans="1:11">
      <c r="A355" s="3"/>
      <c r="B355" s="26" t="s">
        <v>245</v>
      </c>
      <c r="C355" s="59" t="s">
        <v>57</v>
      </c>
      <c r="D355" s="60"/>
      <c r="E355" s="29">
        <v>18.920000000000002</v>
      </c>
      <c r="F355" s="262">
        <v>20.812000000000005</v>
      </c>
      <c r="G355" s="267">
        <v>22.893200000000007</v>
      </c>
      <c r="H355" s="267">
        <f t="shared" si="12"/>
        <v>25.182520000000007</v>
      </c>
      <c r="I355" s="85">
        <v>27.700772000000015</v>
      </c>
      <c r="J355" s="85">
        <v>30.470849200000018</v>
      </c>
      <c r="K355" s="85">
        <v>30.470849200000018</v>
      </c>
    </row>
    <row r="356" spans="1:11">
      <c r="A356" s="3"/>
      <c r="B356" s="42"/>
      <c r="C356" s="62" t="s">
        <v>58</v>
      </c>
      <c r="D356" s="63"/>
      <c r="E356" s="35">
        <v>4.7300000000000004</v>
      </c>
      <c r="F356" s="258">
        <v>5.2030000000000012</v>
      </c>
      <c r="G356" s="270">
        <v>5.7233000000000018</v>
      </c>
      <c r="H356" s="270">
        <f t="shared" si="12"/>
        <v>6.2956300000000018</v>
      </c>
      <c r="I356" s="72">
        <v>6.9251930000000037</v>
      </c>
      <c r="J356" s="72">
        <v>7.6177123000000044</v>
      </c>
      <c r="K356" s="72">
        <v>7.6177123000000044</v>
      </c>
    </row>
    <row r="357" spans="1:11">
      <c r="A357" s="3"/>
      <c r="B357" s="42"/>
      <c r="C357" s="62" t="s">
        <v>59</v>
      </c>
      <c r="D357" s="63"/>
      <c r="E357" s="35">
        <v>341</v>
      </c>
      <c r="F357" s="258">
        <v>375.1</v>
      </c>
      <c r="G357" s="270">
        <v>412.61000000000007</v>
      </c>
      <c r="H357" s="270">
        <f t="shared" si="12"/>
        <v>453.87100000000009</v>
      </c>
      <c r="I357" s="72">
        <v>499.25810000000013</v>
      </c>
      <c r="J357" s="72">
        <v>549.1839100000002</v>
      </c>
      <c r="K357" s="72">
        <v>549.1839100000002</v>
      </c>
    </row>
    <row r="358" spans="1:11" ht="15" thickBot="1">
      <c r="A358" s="3"/>
      <c r="B358" s="43"/>
      <c r="C358" s="74" t="s">
        <v>60</v>
      </c>
      <c r="D358" s="75"/>
      <c r="E358" s="46">
        <v>513.70000000000005</v>
      </c>
      <c r="F358" s="263">
        <v>565.07000000000005</v>
      </c>
      <c r="G358" s="271">
        <v>621.57700000000011</v>
      </c>
      <c r="H358" s="271">
        <f t="shared" si="12"/>
        <v>683.73470000000009</v>
      </c>
      <c r="I358" s="87">
        <v>752.10817000000031</v>
      </c>
      <c r="J358" s="87">
        <v>827.31898700000045</v>
      </c>
      <c r="K358" s="87">
        <v>827.31898700000045</v>
      </c>
    </row>
    <row r="359" spans="1:11">
      <c r="A359" s="3"/>
      <c r="B359" s="92"/>
      <c r="C359" s="62" t="s">
        <v>61</v>
      </c>
      <c r="D359" s="63"/>
      <c r="E359" s="52">
        <v>4730</v>
      </c>
      <c r="F359" s="261">
        <v>5203</v>
      </c>
      <c r="G359" s="269">
        <v>5723.3</v>
      </c>
      <c r="H359" s="269">
        <f t="shared" si="12"/>
        <v>6295.63</v>
      </c>
      <c r="I359" s="81">
        <v>6925.193000000002</v>
      </c>
      <c r="J359" s="81">
        <v>7617.7123000000029</v>
      </c>
      <c r="K359" s="81">
        <v>7617.7123000000029</v>
      </c>
    </row>
    <row r="360" spans="1:11">
      <c r="A360" s="3"/>
      <c r="B360" s="32"/>
      <c r="C360" s="62" t="s">
        <v>62</v>
      </c>
      <c r="D360" s="63"/>
      <c r="E360" s="35">
        <v>5544</v>
      </c>
      <c r="F360" s="258">
        <v>6098.4000000000005</v>
      </c>
      <c r="G360" s="270">
        <v>6708.2400000000007</v>
      </c>
      <c r="H360" s="270">
        <f t="shared" si="12"/>
        <v>7379.0640000000003</v>
      </c>
      <c r="I360" s="72">
        <v>8116.970400000002</v>
      </c>
      <c r="J360" s="72">
        <v>8928.6674400000029</v>
      </c>
      <c r="K360" s="72">
        <v>8928.6674400000029</v>
      </c>
    </row>
    <row r="361" spans="1:11" ht="15" thickBot="1">
      <c r="A361" s="3"/>
      <c r="B361" s="92"/>
      <c r="C361" s="62" t="s">
        <v>63</v>
      </c>
      <c r="D361" s="63"/>
      <c r="E361" s="46">
        <v>220</v>
      </c>
      <c r="F361" s="264">
        <v>242.00000000000003</v>
      </c>
      <c r="G361" s="272">
        <v>266.20000000000005</v>
      </c>
      <c r="H361" s="272">
        <f t="shared" si="12"/>
        <v>292.82000000000005</v>
      </c>
      <c r="I361" s="93">
        <v>322.10200000000009</v>
      </c>
      <c r="J361" s="93">
        <v>354.31220000000013</v>
      </c>
      <c r="K361" s="93">
        <v>354.31220000000013</v>
      </c>
    </row>
    <row r="362" spans="1:11" ht="15" thickBot="1">
      <c r="A362" s="3"/>
      <c r="B362" s="20" t="s">
        <v>64</v>
      </c>
      <c r="C362" s="21"/>
      <c r="D362" s="48"/>
      <c r="E362" s="78" t="s">
        <v>65</v>
      </c>
      <c r="F362" s="265" t="s">
        <v>65</v>
      </c>
      <c r="G362" s="232" t="s">
        <v>65</v>
      </c>
      <c r="H362" s="232" t="s">
        <v>65</v>
      </c>
      <c r="I362" s="94" t="s">
        <v>65</v>
      </c>
      <c r="J362" s="94" t="s">
        <v>65</v>
      </c>
      <c r="K362" s="94" t="s">
        <v>65</v>
      </c>
    </row>
    <row r="363" spans="1:11" ht="15" thickBot="1">
      <c r="A363" s="3"/>
      <c r="B363" s="61" t="s">
        <v>29</v>
      </c>
      <c r="D363" s="63"/>
    </row>
    <row r="364" spans="1:11" ht="31" thickBot="1">
      <c r="A364" s="3"/>
      <c r="B364" s="14" t="s">
        <v>66</v>
      </c>
      <c r="C364" s="15"/>
      <c r="D364" s="16"/>
      <c r="E364" s="12" t="s">
        <v>3</v>
      </c>
      <c r="F364" s="12" t="s">
        <v>4</v>
      </c>
      <c r="G364" s="12" t="s">
        <v>5</v>
      </c>
      <c r="H364" s="12" t="s">
        <v>32</v>
      </c>
      <c r="I364" s="12" t="s">
        <v>7</v>
      </c>
      <c r="J364" s="12" t="s">
        <v>8</v>
      </c>
      <c r="K364" s="350" t="s">
        <v>9</v>
      </c>
    </row>
    <row r="365" spans="1:11">
      <c r="A365" s="3"/>
      <c r="B365" s="26" t="s">
        <v>67</v>
      </c>
      <c r="C365" s="40" t="s">
        <v>68</v>
      </c>
      <c r="D365" s="95"/>
      <c r="E365" s="96">
        <v>5700</v>
      </c>
      <c r="F365" s="273">
        <v>8500</v>
      </c>
      <c r="G365" s="97">
        <v>9350</v>
      </c>
      <c r="H365" s="97">
        <f>G365*10%+G365</f>
        <v>10285</v>
      </c>
      <c r="I365" s="97">
        <v>11313.500000000002</v>
      </c>
      <c r="J365" s="97">
        <v>12444.850000000002</v>
      </c>
      <c r="K365" s="97">
        <v>12444.850000000002</v>
      </c>
    </row>
    <row r="366" spans="1:11">
      <c r="A366" s="3"/>
      <c r="B366" s="32" t="s">
        <v>69</v>
      </c>
      <c r="C366" s="33" t="s">
        <v>70</v>
      </c>
      <c r="D366" s="98"/>
      <c r="E366" s="99">
        <v>5700</v>
      </c>
      <c r="F366" s="274">
        <v>8500</v>
      </c>
      <c r="G366" s="100">
        <v>9350</v>
      </c>
      <c r="H366" s="100">
        <f>G366*10%+G366</f>
        <v>10285</v>
      </c>
      <c r="I366" s="100">
        <v>11313.500000000002</v>
      </c>
      <c r="J366" s="100">
        <v>12444.850000000002</v>
      </c>
      <c r="K366" s="100">
        <v>12444.850000000002</v>
      </c>
    </row>
    <row r="367" spans="1:11" ht="15" thickBot="1">
      <c r="A367" s="3"/>
      <c r="B367" s="42"/>
      <c r="C367" s="37" t="s">
        <v>71</v>
      </c>
      <c r="D367" s="101"/>
      <c r="E367" s="102">
        <v>6600</v>
      </c>
      <c r="F367" s="275">
        <v>10000</v>
      </c>
      <c r="G367" s="103">
        <v>11000</v>
      </c>
      <c r="H367" s="103">
        <f>G367*10%+G367</f>
        <v>12100</v>
      </c>
      <c r="I367" s="103">
        <v>13310.000000000004</v>
      </c>
      <c r="J367" s="103">
        <v>14641.000000000005</v>
      </c>
      <c r="K367" s="103">
        <v>14641.000000000005</v>
      </c>
    </row>
    <row r="368" spans="1:11" ht="15" thickBot="1">
      <c r="A368" s="3"/>
      <c r="B368" s="43"/>
      <c r="C368" s="104" t="s">
        <v>72</v>
      </c>
      <c r="D368" s="105"/>
      <c r="E368" s="106">
        <v>18000</v>
      </c>
      <c r="F368" s="276">
        <v>27000</v>
      </c>
      <c r="G368" s="107">
        <v>29700.000000000004</v>
      </c>
      <c r="H368" s="107">
        <f>SUM(H365:H367)</f>
        <v>32670</v>
      </c>
      <c r="I368" s="107">
        <v>35937.000000000007</v>
      </c>
      <c r="J368" s="107">
        <v>39530.700000000012</v>
      </c>
      <c r="K368" s="107">
        <v>39530.700000000012</v>
      </c>
    </row>
    <row r="369" spans="1:11" ht="15" thickBot="1">
      <c r="A369" s="3"/>
      <c r="B369" s="26" t="s">
        <v>67</v>
      </c>
      <c r="C369" s="108" t="s">
        <v>68</v>
      </c>
      <c r="D369" s="105"/>
      <c r="E369" s="96">
        <v>11400</v>
      </c>
      <c r="F369" s="273">
        <v>17000</v>
      </c>
      <c r="G369" s="97">
        <v>18700</v>
      </c>
      <c r="H369" s="97">
        <f>G369*10%+G369</f>
        <v>20570</v>
      </c>
      <c r="I369" s="97">
        <v>22627.000000000004</v>
      </c>
      <c r="J369" s="97">
        <v>24889.700000000004</v>
      </c>
      <c r="K369" s="97">
        <v>24889.700000000004</v>
      </c>
    </row>
    <row r="370" spans="1:11">
      <c r="A370" s="3"/>
      <c r="B370" s="32" t="s">
        <v>73</v>
      </c>
      <c r="C370" s="40" t="s">
        <v>70</v>
      </c>
      <c r="D370" s="83"/>
      <c r="E370" s="99">
        <v>11400</v>
      </c>
      <c r="F370" s="274">
        <v>17000</v>
      </c>
      <c r="G370" s="100">
        <v>18700</v>
      </c>
      <c r="H370" s="100">
        <f>G370*10%+G370</f>
        <v>20570</v>
      </c>
      <c r="I370" s="100">
        <v>22627.000000000004</v>
      </c>
      <c r="J370" s="100">
        <v>24889.700000000004</v>
      </c>
      <c r="K370" s="100">
        <v>24889.700000000004</v>
      </c>
    </row>
    <row r="371" spans="1:11" ht="15" thickBot="1">
      <c r="A371" s="3"/>
      <c r="B371" s="42"/>
      <c r="C371" s="37" t="s">
        <v>71</v>
      </c>
      <c r="D371" s="101"/>
      <c r="E371" s="102">
        <v>13200</v>
      </c>
      <c r="F371" s="275">
        <v>20000</v>
      </c>
      <c r="G371" s="100">
        <v>22000</v>
      </c>
      <c r="H371" s="100">
        <f>G371*10%+G371</f>
        <v>24200</v>
      </c>
      <c r="I371" s="100">
        <v>26620.000000000007</v>
      </c>
      <c r="J371" s="100">
        <v>29282.000000000011</v>
      </c>
      <c r="K371" s="100">
        <v>29282.000000000011</v>
      </c>
    </row>
    <row r="372" spans="1:11" ht="15" thickBot="1">
      <c r="A372" s="3"/>
      <c r="B372" s="43"/>
      <c r="C372" s="104" t="s">
        <v>72</v>
      </c>
      <c r="D372" s="105"/>
      <c r="E372" s="109">
        <v>36000</v>
      </c>
      <c r="F372" s="277">
        <v>54000</v>
      </c>
      <c r="G372" s="110">
        <v>59400.000000000007</v>
      </c>
      <c r="H372" s="110">
        <f>SUM(H369:H371)</f>
        <v>65340</v>
      </c>
      <c r="I372" s="110">
        <v>71874.000000000015</v>
      </c>
      <c r="J372" s="110">
        <v>79061.400000000023</v>
      </c>
      <c r="K372" s="110">
        <v>79061.400000000023</v>
      </c>
    </row>
    <row r="373" spans="1:11" ht="15" thickBot="1">
      <c r="A373" s="3"/>
      <c r="B373" s="20" t="s">
        <v>64</v>
      </c>
      <c r="C373" s="21"/>
      <c r="D373" s="48"/>
      <c r="E373" s="78" t="s">
        <v>65</v>
      </c>
      <c r="F373" s="265" t="s">
        <v>65</v>
      </c>
      <c r="G373" s="94" t="s">
        <v>65</v>
      </c>
      <c r="H373" s="94" t="s">
        <v>65</v>
      </c>
      <c r="I373" s="94" t="s">
        <v>65</v>
      </c>
      <c r="J373" s="94" t="s">
        <v>65</v>
      </c>
      <c r="K373" s="94" t="s">
        <v>65</v>
      </c>
    </row>
    <row r="374" spans="1:11" ht="15" thickBot="1">
      <c r="A374" s="3"/>
      <c r="B374" s="61" t="s">
        <v>29</v>
      </c>
      <c r="D374" s="63"/>
    </row>
    <row r="375" spans="1:11" ht="31" thickBot="1">
      <c r="A375" s="3"/>
      <c r="B375" s="9"/>
      <c r="C375" s="10"/>
      <c r="D375" s="11"/>
      <c r="E375" s="12" t="s">
        <v>3</v>
      </c>
      <c r="F375" s="12" t="s">
        <v>4</v>
      </c>
      <c r="G375" s="12" t="s">
        <v>5</v>
      </c>
      <c r="H375" s="12" t="s">
        <v>32</v>
      </c>
      <c r="I375" s="12" t="s">
        <v>7</v>
      </c>
      <c r="J375" s="12" t="s">
        <v>8</v>
      </c>
      <c r="K375" s="350" t="s">
        <v>9</v>
      </c>
    </row>
    <row r="376" spans="1:11" ht="15" thickBot="1">
      <c r="A376" s="3"/>
      <c r="B376" s="970" t="s">
        <v>202</v>
      </c>
      <c r="C376" s="971"/>
      <c r="D376" s="972"/>
      <c r="E376" s="973" t="s">
        <v>229</v>
      </c>
      <c r="F376" s="974"/>
      <c r="G376" s="974"/>
      <c r="H376" s="974"/>
      <c r="I376" s="974"/>
      <c r="J376" s="974"/>
      <c r="K376" s="13"/>
    </row>
    <row r="377" spans="1:11" ht="15" thickBot="1">
      <c r="A377" s="3"/>
      <c r="B377" s="981" t="s">
        <v>113</v>
      </c>
      <c r="C377" s="982"/>
      <c r="D377" s="983"/>
      <c r="E377" s="984" t="s">
        <v>113</v>
      </c>
      <c r="F377" s="985"/>
      <c r="G377" s="985"/>
      <c r="H377" s="985"/>
      <c r="I377" s="985"/>
      <c r="J377" s="985"/>
      <c r="K377" s="13"/>
    </row>
    <row r="378" spans="1:11" ht="15" thickBot="1">
      <c r="A378" s="3"/>
      <c r="B378" s="975" t="s">
        <v>10</v>
      </c>
      <c r="C378" s="976"/>
      <c r="D378" s="977"/>
      <c r="E378" s="978" t="s">
        <v>10</v>
      </c>
      <c r="F378" s="979"/>
      <c r="G378" s="979"/>
      <c r="H378" s="979"/>
      <c r="I378" s="979"/>
      <c r="J378" s="979"/>
      <c r="K378" s="13"/>
    </row>
    <row r="379" spans="1:11" ht="15" thickBot="1">
      <c r="A379" s="192"/>
      <c r="B379" s="195"/>
      <c r="C379" s="193"/>
      <c r="D379" s="198"/>
      <c r="E379" s="208"/>
      <c r="F379" s="198"/>
      <c r="G379" s="208"/>
      <c r="H379" s="198"/>
      <c r="I379" s="208"/>
      <c r="J379" s="208"/>
      <c r="K379" s="208"/>
    </row>
    <row r="380" spans="1:11" ht="15" thickBot="1">
      <c r="A380" s="192"/>
      <c r="B380" s="209" t="s">
        <v>246</v>
      </c>
      <c r="C380" s="195"/>
      <c r="D380" s="195"/>
      <c r="E380" s="195"/>
      <c r="F380" s="195"/>
      <c r="G380" s="208"/>
      <c r="H380" s="195"/>
      <c r="I380" s="208"/>
      <c r="J380" s="208"/>
      <c r="K380" s="208"/>
    </row>
    <row r="381" spans="1:11" ht="15" thickBot="1">
      <c r="A381" s="192"/>
      <c r="B381" s="209"/>
      <c r="C381" s="195"/>
      <c r="D381" s="195"/>
      <c r="E381" s="195"/>
      <c r="F381" s="195"/>
      <c r="G381" s="208"/>
      <c r="H381" s="195"/>
      <c r="I381" s="208"/>
      <c r="J381" s="208"/>
      <c r="K381" s="208"/>
    </row>
    <row r="382" spans="1:11" ht="15" thickBot="1">
      <c r="A382" s="192"/>
      <c r="B382" s="195" t="s">
        <v>247</v>
      </c>
      <c r="C382" s="195"/>
      <c r="D382" s="195"/>
      <c r="E382" s="195"/>
      <c r="F382" s="195"/>
      <c r="G382" s="208"/>
      <c r="H382" s="195"/>
      <c r="I382" s="208"/>
      <c r="J382" s="208"/>
      <c r="K382" s="208"/>
    </row>
    <row r="383" spans="1:11" ht="15" thickBot="1">
      <c r="A383" s="192"/>
      <c r="B383" s="195" t="s">
        <v>248</v>
      </c>
      <c r="C383" s="195"/>
      <c r="D383" s="195"/>
      <c r="E383" s="195"/>
      <c r="F383" s="195"/>
      <c r="G383" s="208"/>
      <c r="H383" s="195"/>
      <c r="I383" s="208"/>
      <c r="J383" s="208"/>
      <c r="K383" s="208"/>
    </row>
    <row r="384" spans="1:11" ht="15" thickBot="1">
      <c r="A384" s="192"/>
      <c r="B384" s="195"/>
      <c r="C384" s="195"/>
      <c r="D384" s="195"/>
      <c r="E384" s="195"/>
      <c r="F384" s="195"/>
      <c r="G384" s="208"/>
      <c r="H384" s="195"/>
      <c r="I384" s="208"/>
      <c r="J384" s="208"/>
      <c r="K384" s="208"/>
    </row>
    <row r="385" spans="1:11" ht="15" thickBot="1">
      <c r="A385" s="192"/>
      <c r="B385" s="195"/>
      <c r="C385" s="193" t="s">
        <v>249</v>
      </c>
      <c r="D385" s="195"/>
      <c r="E385" s="195"/>
      <c r="F385" s="195"/>
      <c r="G385" s="208"/>
      <c r="H385" s="195"/>
      <c r="I385" s="208"/>
      <c r="J385" s="208"/>
      <c r="K385" s="208"/>
    </row>
    <row r="386" spans="1:11" ht="15" thickBot="1">
      <c r="A386" s="192"/>
      <c r="B386" s="195"/>
      <c r="C386" s="195" t="s">
        <v>250</v>
      </c>
      <c r="D386" s="198"/>
      <c r="E386" s="208"/>
      <c r="F386" s="198"/>
      <c r="G386" s="198">
        <v>665.5</v>
      </c>
      <c r="H386" s="198">
        <f>G386*10%+G386</f>
        <v>732.05</v>
      </c>
      <c r="I386" s="198">
        <f>H386*10%+H386</f>
        <v>805.255</v>
      </c>
      <c r="J386" s="198">
        <f>I386*10%+I386</f>
        <v>885.78049999999996</v>
      </c>
      <c r="K386" s="198">
        <f>J386*10%+J386</f>
        <v>974.35854999999992</v>
      </c>
    </row>
    <row r="387" spans="1:11" ht="15" thickBot="1">
      <c r="A387" s="192"/>
      <c r="B387" s="195"/>
      <c r="C387" s="195" t="s">
        <v>251</v>
      </c>
      <c r="D387" s="198"/>
      <c r="E387" s="208"/>
      <c r="F387" s="198"/>
      <c r="G387" s="198">
        <v>665.5</v>
      </c>
      <c r="H387" s="198">
        <f t="shared" ref="H387:K390" si="13">G387*10%+G387</f>
        <v>732.05</v>
      </c>
      <c r="I387" s="198">
        <f t="shared" si="13"/>
        <v>805.255</v>
      </c>
      <c r="J387" s="198">
        <f t="shared" si="13"/>
        <v>885.78049999999996</v>
      </c>
      <c r="K387" s="198">
        <f t="shared" si="13"/>
        <v>974.35854999999992</v>
      </c>
    </row>
    <row r="388" spans="1:11" ht="31" thickBot="1">
      <c r="A388" s="192"/>
      <c r="B388" s="195"/>
      <c r="C388" s="210" t="s">
        <v>252</v>
      </c>
      <c r="D388" s="198"/>
      <c r="E388" s="208"/>
      <c r="F388" s="198"/>
      <c r="G388" s="198">
        <v>665.5</v>
      </c>
      <c r="H388" s="198">
        <f t="shared" si="13"/>
        <v>732.05</v>
      </c>
      <c r="I388" s="198">
        <f t="shared" si="13"/>
        <v>805.255</v>
      </c>
      <c r="J388" s="198">
        <f t="shared" si="13"/>
        <v>885.78049999999996</v>
      </c>
      <c r="K388" s="198">
        <f t="shared" si="13"/>
        <v>974.35854999999992</v>
      </c>
    </row>
    <row r="389" spans="1:11" ht="15" thickBot="1">
      <c r="A389" s="192"/>
      <c r="B389" s="195"/>
      <c r="C389" s="195" t="s">
        <v>253</v>
      </c>
      <c r="D389" s="198"/>
      <c r="E389" s="208"/>
      <c r="F389" s="198"/>
      <c r="G389" s="198">
        <v>200</v>
      </c>
      <c r="H389" s="198">
        <f t="shared" si="13"/>
        <v>220</v>
      </c>
      <c r="I389" s="198">
        <f t="shared" si="13"/>
        <v>242</v>
      </c>
      <c r="J389" s="198">
        <f t="shared" si="13"/>
        <v>266.2</v>
      </c>
      <c r="K389" s="198">
        <f t="shared" si="13"/>
        <v>292.82</v>
      </c>
    </row>
    <row r="390" spans="1:11" ht="15" thickBot="1">
      <c r="A390" s="192"/>
      <c r="B390" s="195"/>
      <c r="C390" s="195" t="s">
        <v>254</v>
      </c>
      <c r="D390" s="198"/>
      <c r="E390" s="208"/>
      <c r="F390" s="198"/>
      <c r="G390" s="198">
        <v>100</v>
      </c>
      <c r="H390" s="198">
        <f t="shared" si="13"/>
        <v>110</v>
      </c>
      <c r="I390" s="198">
        <f t="shared" si="13"/>
        <v>121</v>
      </c>
      <c r="J390" s="198">
        <f t="shared" si="13"/>
        <v>133.1</v>
      </c>
      <c r="K390" s="198">
        <f t="shared" si="13"/>
        <v>146.41</v>
      </c>
    </row>
    <row r="391" spans="1:11" ht="76" thickBot="1">
      <c r="A391" s="192"/>
      <c r="B391" s="195"/>
      <c r="C391" s="210" t="s">
        <v>255</v>
      </c>
      <c r="D391" s="195"/>
      <c r="E391" s="195"/>
      <c r="F391" s="195"/>
      <c r="G391" s="208"/>
      <c r="H391" s="195"/>
      <c r="I391" s="208"/>
      <c r="J391" s="208"/>
      <c r="K391" s="208"/>
    </row>
    <row r="392" spans="1:11" ht="31" thickBot="1">
      <c r="A392" s="3"/>
      <c r="B392" s="14" t="s">
        <v>256</v>
      </c>
      <c r="C392" s="15"/>
      <c r="D392" s="16"/>
      <c r="E392" s="12" t="s">
        <v>3</v>
      </c>
      <c r="F392" s="12" t="s">
        <v>4</v>
      </c>
      <c r="G392" s="12" t="s">
        <v>5</v>
      </c>
      <c r="H392" s="12" t="s">
        <v>32</v>
      </c>
      <c r="I392" s="12" t="s">
        <v>7</v>
      </c>
      <c r="J392" s="12" t="s">
        <v>8</v>
      </c>
      <c r="K392" s="64" t="s">
        <v>9</v>
      </c>
    </row>
    <row r="393" spans="1:11">
      <c r="A393" s="3"/>
      <c r="B393" s="211" t="s">
        <v>257</v>
      </c>
      <c r="C393" s="40" t="s">
        <v>258</v>
      </c>
      <c r="D393" s="41"/>
      <c r="E393" s="212"/>
      <c r="F393" s="213"/>
      <c r="G393" s="213">
        <v>1331</v>
      </c>
      <c r="H393" s="70">
        <v>1464.1000000000001</v>
      </c>
      <c r="I393" s="30">
        <v>1610.5100000000002</v>
      </c>
      <c r="J393" s="30">
        <v>1771.5610000000004</v>
      </c>
      <c r="K393" s="30">
        <v>1771.5610000000004</v>
      </c>
    </row>
    <row r="394" spans="1:11" ht="15" thickBot="1">
      <c r="A394" s="3"/>
      <c r="B394" s="214" t="s">
        <v>259</v>
      </c>
      <c r="C394" s="44" t="s">
        <v>260</v>
      </c>
      <c r="D394" s="45"/>
      <c r="E394" s="215"/>
      <c r="F394" s="216"/>
      <c r="G394" s="216">
        <v>2662</v>
      </c>
      <c r="H394" s="217">
        <v>2928.2000000000003</v>
      </c>
      <c r="I394" s="47">
        <v>3221.0200000000004</v>
      </c>
      <c r="J394" s="47">
        <v>3543.1220000000008</v>
      </c>
      <c r="K394" s="47">
        <v>3543.1220000000008</v>
      </c>
    </row>
    <row r="395" spans="1:11">
      <c r="A395" s="3"/>
      <c r="B395" s="211" t="s">
        <v>261</v>
      </c>
      <c r="C395" s="40" t="s">
        <v>262</v>
      </c>
      <c r="D395" s="41"/>
      <c r="E395" s="212"/>
      <c r="F395" s="213"/>
      <c r="G395" s="213">
        <v>1464.1000000000001</v>
      </c>
      <c r="H395" s="70">
        <v>1610.5100000000002</v>
      </c>
      <c r="I395" s="30">
        <v>1771.5610000000004</v>
      </c>
      <c r="J395" s="30">
        <v>1948.7171000000005</v>
      </c>
      <c r="K395" s="30">
        <v>1948.7171000000005</v>
      </c>
    </row>
    <row r="396" spans="1:11" ht="15" thickBot="1">
      <c r="A396" s="3"/>
      <c r="B396" s="214" t="s">
        <v>263</v>
      </c>
      <c r="C396" s="44" t="s">
        <v>264</v>
      </c>
      <c r="D396" s="45"/>
      <c r="E396" s="215"/>
      <c r="F396" s="216"/>
      <c r="G396" s="216">
        <v>2920.9400000000005</v>
      </c>
      <c r="H396" s="217">
        <v>3213.034000000001</v>
      </c>
      <c r="I396" s="47">
        <v>3534.3374000000013</v>
      </c>
      <c r="J396" s="47">
        <v>3887.7711400000017</v>
      </c>
      <c r="K396" s="47">
        <v>3887.7711400000017</v>
      </c>
    </row>
    <row r="397" spans="1:11" ht="15" thickBot="1">
      <c r="A397" s="3"/>
      <c r="B397" s="218" t="s">
        <v>265</v>
      </c>
      <c r="C397" s="21" t="s">
        <v>266</v>
      </c>
      <c r="D397" s="48"/>
      <c r="E397" s="219"/>
      <c r="F397" s="50"/>
      <c r="G397" s="50" t="s">
        <v>267</v>
      </c>
      <c r="H397" s="220" t="s">
        <v>267</v>
      </c>
      <c r="I397" s="221" t="s">
        <v>267</v>
      </c>
      <c r="J397" s="221" t="s">
        <v>267</v>
      </c>
      <c r="K397" s="221" t="s">
        <v>267</v>
      </c>
    </row>
    <row r="398" spans="1:11">
      <c r="A398" s="3"/>
      <c r="B398" s="211" t="s">
        <v>268</v>
      </c>
      <c r="C398" s="40" t="s">
        <v>269</v>
      </c>
      <c r="D398" s="41"/>
      <c r="E398" s="212"/>
      <c r="F398" s="213"/>
      <c r="G398" s="213" t="s">
        <v>267</v>
      </c>
      <c r="H398" s="70" t="s">
        <v>267</v>
      </c>
      <c r="I398" s="30" t="s">
        <v>267</v>
      </c>
      <c r="J398" s="30" t="s">
        <v>267</v>
      </c>
      <c r="K398" s="30" t="s">
        <v>267</v>
      </c>
    </row>
    <row r="399" spans="1:11">
      <c r="A399" s="3"/>
      <c r="B399" s="222" t="s">
        <v>270</v>
      </c>
      <c r="C399" s="33" t="s">
        <v>271</v>
      </c>
      <c r="D399" s="34"/>
      <c r="E399" s="223"/>
      <c r="F399" s="224"/>
      <c r="G399" s="224" t="s">
        <v>267</v>
      </c>
      <c r="H399" s="225" t="s">
        <v>267</v>
      </c>
      <c r="I399" s="36" t="s">
        <v>267</v>
      </c>
      <c r="J399" s="36" t="s">
        <v>267</v>
      </c>
      <c r="K399" s="36" t="s">
        <v>267</v>
      </c>
    </row>
    <row r="400" spans="1:11">
      <c r="A400" s="3"/>
      <c r="B400" s="222"/>
      <c r="C400" s="33" t="s">
        <v>272</v>
      </c>
      <c r="D400" s="34"/>
      <c r="E400" s="223"/>
      <c r="F400" s="224"/>
      <c r="G400" s="224" t="s">
        <v>267</v>
      </c>
      <c r="H400" s="225" t="s">
        <v>267</v>
      </c>
      <c r="I400" s="36" t="s">
        <v>267</v>
      </c>
      <c r="J400" s="36" t="s">
        <v>267</v>
      </c>
      <c r="K400" s="36" t="s">
        <v>267</v>
      </c>
    </row>
    <row r="401" spans="1:11">
      <c r="A401" s="3"/>
      <c r="B401" s="222"/>
      <c r="C401" s="33" t="s">
        <v>273</v>
      </c>
      <c r="D401" s="34"/>
      <c r="E401" s="223"/>
      <c r="F401" s="224"/>
      <c r="G401" s="224" t="s">
        <v>267</v>
      </c>
      <c r="H401" s="225" t="s">
        <v>267</v>
      </c>
      <c r="I401" s="36" t="s">
        <v>267</v>
      </c>
      <c r="J401" s="36" t="s">
        <v>267</v>
      </c>
      <c r="K401" s="36" t="s">
        <v>267</v>
      </c>
    </row>
    <row r="402" spans="1:11" ht="15" thickBot="1">
      <c r="A402" s="3"/>
      <c r="B402" s="214"/>
      <c r="C402" s="44" t="s">
        <v>274</v>
      </c>
      <c r="D402" s="45"/>
      <c r="E402" s="215"/>
      <c r="F402" s="216"/>
      <c r="G402" s="216"/>
      <c r="H402" s="217"/>
      <c r="I402" s="217"/>
      <c r="J402" s="217"/>
      <c r="K402" s="217"/>
    </row>
    <row r="403" spans="1:11" ht="15" thickBot="1">
      <c r="A403" s="3"/>
      <c r="B403" s="218" t="s">
        <v>275</v>
      </c>
      <c r="C403" s="21"/>
      <c r="D403" s="48"/>
      <c r="E403" s="219"/>
      <c r="F403" s="226"/>
      <c r="G403" s="226">
        <v>53.240000000000009</v>
      </c>
      <c r="H403" s="227">
        <v>58.564000000000014</v>
      </c>
      <c r="I403" s="79">
        <v>64.420400000000015</v>
      </c>
      <c r="J403" s="79">
        <v>70.862440000000021</v>
      </c>
      <c r="K403" s="79">
        <v>70.862440000000021</v>
      </c>
    </row>
    <row r="404" spans="1:11" ht="15" thickBot="1">
      <c r="A404" s="3"/>
      <c r="B404" s="218" t="s">
        <v>276</v>
      </c>
      <c r="C404" s="40"/>
      <c r="D404" s="228"/>
      <c r="E404" s="219"/>
      <c r="F404" s="226"/>
      <c r="G404" s="226">
        <v>423.50000000000011</v>
      </c>
      <c r="H404" s="227">
        <v>465.85000000000014</v>
      </c>
      <c r="I404" s="79">
        <v>512.43500000000017</v>
      </c>
      <c r="J404" s="79">
        <v>563.67850000000021</v>
      </c>
      <c r="K404" s="79">
        <v>563.67850000000021</v>
      </c>
    </row>
    <row r="405" spans="1:11" ht="15" thickBot="1">
      <c r="A405" s="3"/>
      <c r="B405" s="229" t="s">
        <v>277</v>
      </c>
      <c r="C405" s="74"/>
      <c r="D405" s="63"/>
      <c r="E405" s="230"/>
      <c r="F405" s="226"/>
      <c r="G405" s="226">
        <v>121.00000000000003</v>
      </c>
      <c r="H405" s="227">
        <v>133.10000000000005</v>
      </c>
      <c r="I405" s="79">
        <v>146.41000000000008</v>
      </c>
      <c r="J405" s="79">
        <v>161.0510000000001</v>
      </c>
      <c r="K405" s="79">
        <v>161.0510000000001</v>
      </c>
    </row>
    <row r="406" spans="1:11" ht="15" thickBot="1">
      <c r="A406" s="3"/>
      <c r="B406" s="218" t="s">
        <v>64</v>
      </c>
      <c r="C406" s="21"/>
      <c r="D406" s="22"/>
      <c r="E406" s="231"/>
      <c r="F406" s="232"/>
      <c r="G406" s="232" t="s">
        <v>65</v>
      </c>
      <c r="H406" s="233" t="s">
        <v>65</v>
      </c>
      <c r="I406" s="232" t="s">
        <v>65</v>
      </c>
      <c r="J406" s="232" t="s">
        <v>65</v>
      </c>
      <c r="K406" s="232" t="s">
        <v>65</v>
      </c>
    </row>
    <row r="407" spans="1:11" s="149" customFormat="1" ht="15" thickBot="1">
      <c r="A407" s="153"/>
      <c r="B407" s="178" t="s">
        <v>278</v>
      </c>
      <c r="C407" s="958" t="s">
        <v>279</v>
      </c>
      <c r="D407" s="959"/>
      <c r="E407" s="234"/>
      <c r="F407" s="164"/>
      <c r="G407" s="186">
        <v>176.55</v>
      </c>
      <c r="H407" s="235">
        <v>194.20500000000004</v>
      </c>
      <c r="I407" s="161">
        <v>213.62550000000007</v>
      </c>
      <c r="J407" s="161">
        <v>234.9880500000001</v>
      </c>
      <c r="K407" s="161">
        <v>234.9880500000001</v>
      </c>
    </row>
    <row r="408" spans="1:11" s="149" customFormat="1" ht="15" thickBot="1">
      <c r="A408" s="153"/>
      <c r="B408" s="178" t="s">
        <v>280</v>
      </c>
      <c r="C408" s="958" t="s">
        <v>281</v>
      </c>
      <c r="D408" s="959"/>
      <c r="E408" s="234"/>
      <c r="F408" s="164"/>
      <c r="G408" s="186">
        <v>317.79000000000002</v>
      </c>
      <c r="H408" s="235">
        <v>349.56900000000007</v>
      </c>
      <c r="I408" s="161">
        <v>384.52590000000009</v>
      </c>
      <c r="J408" s="161">
        <v>422.97849000000014</v>
      </c>
      <c r="K408" s="161">
        <v>422.97849000000014</v>
      </c>
    </row>
    <row r="410" spans="1:11" ht="17.25" customHeight="1">
      <c r="B410" s="298" t="s">
        <v>282</v>
      </c>
      <c r="C410" s="298"/>
      <c r="H410" s="62" t="s">
        <v>283</v>
      </c>
    </row>
    <row r="411" spans="1:11">
      <c r="B411" s="299" t="s">
        <v>284</v>
      </c>
      <c r="H411" s="334">
        <v>100</v>
      </c>
    </row>
    <row r="412" spans="1:11">
      <c r="B412" s="108" t="s">
        <v>285</v>
      </c>
      <c r="C412" s="108"/>
      <c r="H412" s="334">
        <v>250</v>
      </c>
    </row>
    <row r="413" spans="1:11">
      <c r="B413" s="222" t="s">
        <v>286</v>
      </c>
      <c r="H413" s="334">
        <v>350</v>
      </c>
    </row>
    <row r="414" spans="1:11">
      <c r="B414" s="222" t="s">
        <v>287</v>
      </c>
      <c r="H414" s="334">
        <v>500</v>
      </c>
    </row>
    <row r="415" spans="1:11">
      <c r="B415" s="222" t="s">
        <v>288</v>
      </c>
      <c r="H415" s="334">
        <v>750</v>
      </c>
    </row>
    <row r="416" spans="1:11">
      <c r="B416" s="222" t="s">
        <v>289</v>
      </c>
      <c r="H416" s="334">
        <v>1000</v>
      </c>
    </row>
    <row r="417" spans="2:8">
      <c r="B417" s="222" t="s">
        <v>290</v>
      </c>
      <c r="H417" s="334">
        <v>5000</v>
      </c>
    </row>
    <row r="418" spans="2:8">
      <c r="B418" s="222" t="s">
        <v>291</v>
      </c>
      <c r="H418" s="334">
        <v>10000</v>
      </c>
    </row>
    <row r="419" spans="2:8">
      <c r="B419" s="222" t="s">
        <v>292</v>
      </c>
      <c r="H419" s="334"/>
    </row>
    <row r="420" spans="2:8">
      <c r="B420" s="108" t="s">
        <v>293</v>
      </c>
      <c r="H420" s="334"/>
    </row>
    <row r="421" spans="2:8">
      <c r="B421" s="62" t="s">
        <v>294</v>
      </c>
      <c r="H421" s="334">
        <v>100</v>
      </c>
    </row>
    <row r="422" spans="2:8">
      <c r="B422" s="62" t="s">
        <v>295</v>
      </c>
      <c r="H422" s="334">
        <v>50</v>
      </c>
    </row>
    <row r="423" spans="2:8">
      <c r="B423" s="108" t="s">
        <v>296</v>
      </c>
      <c r="H423" s="334"/>
    </row>
  </sheetData>
  <mergeCells count="41">
    <mergeCell ref="B4:D4"/>
    <mergeCell ref="E4:J4"/>
    <mergeCell ref="B25:D25"/>
    <mergeCell ref="E25:J25"/>
    <mergeCell ref="B26:D26"/>
    <mergeCell ref="E26:J26"/>
    <mergeCell ref="B230:D230"/>
    <mergeCell ref="E230:J230"/>
    <mergeCell ref="B66:D66"/>
    <mergeCell ref="E66:J66"/>
    <mergeCell ref="B93:D93"/>
    <mergeCell ref="E93:J93"/>
    <mergeCell ref="B123:D123"/>
    <mergeCell ref="E123:J123"/>
    <mergeCell ref="E125:J125"/>
    <mergeCell ref="B166:D166"/>
    <mergeCell ref="E166:J166"/>
    <mergeCell ref="B185:D185"/>
    <mergeCell ref="E185:J185"/>
    <mergeCell ref="C408:D408"/>
    <mergeCell ref="B260:D260"/>
    <mergeCell ref="E260:J260"/>
    <mergeCell ref="B307:D307"/>
    <mergeCell ref="E307:J307"/>
    <mergeCell ref="B376:D376"/>
    <mergeCell ref="E376:J376"/>
    <mergeCell ref="B336:D336"/>
    <mergeCell ref="E336:J336"/>
    <mergeCell ref="B337:D337"/>
    <mergeCell ref="E337:J337"/>
    <mergeCell ref="B377:D377"/>
    <mergeCell ref="E377:J377"/>
    <mergeCell ref="B378:D378"/>
    <mergeCell ref="E378:J378"/>
    <mergeCell ref="C407:D407"/>
    <mergeCell ref="B261:D261"/>
    <mergeCell ref="E261:J261"/>
    <mergeCell ref="B262:D262"/>
    <mergeCell ref="E262:J262"/>
    <mergeCell ref="B263:D263"/>
    <mergeCell ref="E263:J263"/>
  </mergeCells>
  <pageMargins left="0.23622047244094491" right="0.23622047244094491" top="0.35433070866141736" bottom="0.35433070866141736" header="0.19685039370078741" footer="0.23622047244094491"/>
  <pageSetup paperSize="9" scale="92"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EECDE4-CFA0-415F-B79B-9318C5BDDF58}">
  <dimension ref="A8:T89"/>
  <sheetViews>
    <sheetView topLeftCell="A14" workbookViewId="0">
      <selection activeCell="A22" sqref="A22:C22"/>
    </sheetView>
  </sheetViews>
  <sheetFormatPr baseColWidth="10" defaultColWidth="8.83203125" defaultRowHeight="15"/>
  <cols>
    <col min="1" max="1" width="23.33203125" customWidth="1"/>
    <col min="2" max="2" width="26.6640625" bestFit="1" customWidth="1"/>
    <col min="3" max="3" width="24.5" customWidth="1"/>
  </cols>
  <sheetData>
    <row r="8" spans="1:6" ht="19" thickBot="1">
      <c r="A8" s="1182" t="s">
        <v>1257</v>
      </c>
      <c r="B8" s="1182"/>
      <c r="C8" s="1182"/>
      <c r="D8" s="1182"/>
      <c r="E8" s="1182"/>
      <c r="F8" s="1182"/>
    </row>
    <row r="9" spans="1:6" ht="20" thickBot="1">
      <c r="A9" s="1193" t="s">
        <v>431</v>
      </c>
      <c r="B9" s="1194"/>
      <c r="C9" s="825" t="s">
        <v>1179</v>
      </c>
    </row>
    <row r="10" spans="1:6" ht="19" thickBot="1">
      <c r="A10" s="1174" t="s">
        <v>1180</v>
      </c>
      <c r="B10" s="1175"/>
      <c r="C10" s="886">
        <v>500</v>
      </c>
    </row>
    <row r="11" spans="1:6" ht="19" thickBot="1">
      <c r="A11" s="1174" t="s">
        <v>1181</v>
      </c>
      <c r="B11" s="1175"/>
      <c r="C11" s="886">
        <v>500</v>
      </c>
    </row>
    <row r="12" spans="1:6" ht="20" thickBot="1">
      <c r="A12" s="1171" t="s">
        <v>1182</v>
      </c>
      <c r="B12" s="826" t="s">
        <v>16</v>
      </c>
      <c r="C12" s="886">
        <v>550</v>
      </c>
    </row>
    <row r="13" spans="1:6" ht="20" thickBot="1">
      <c r="A13" s="1172"/>
      <c r="B13" s="826" t="s">
        <v>1183</v>
      </c>
      <c r="C13" s="886">
        <v>550</v>
      </c>
    </row>
    <row r="14" spans="1:6" ht="20" thickBot="1">
      <c r="A14" s="1173"/>
      <c r="B14" s="826" t="s">
        <v>1184</v>
      </c>
      <c r="C14" s="886">
        <v>500</v>
      </c>
    </row>
    <row r="15" spans="1:6" ht="19" thickBot="1">
      <c r="A15" s="1174" t="s">
        <v>1185</v>
      </c>
      <c r="B15" s="1175"/>
      <c r="C15" s="886">
        <v>550</v>
      </c>
    </row>
    <row r="16" spans="1:6" ht="19" thickBot="1">
      <c r="A16" s="1174" t="s">
        <v>1186</v>
      </c>
      <c r="B16" s="1175"/>
      <c r="C16" s="886">
        <v>500</v>
      </c>
    </row>
    <row r="17" spans="1:20" ht="19" thickBot="1">
      <c r="A17" s="1174" t="s">
        <v>1187</v>
      </c>
      <c r="B17" s="1175"/>
      <c r="C17" s="886">
        <v>500</v>
      </c>
    </row>
    <row r="18" spans="1:20" ht="57">
      <c r="A18" s="1189" t="s">
        <v>1188</v>
      </c>
      <c r="B18" s="1190"/>
      <c r="C18" s="827" t="s">
        <v>1189</v>
      </c>
    </row>
    <row r="19" spans="1:20" ht="39" thickBot="1">
      <c r="A19" s="1191"/>
      <c r="B19" s="1192"/>
      <c r="C19" s="826" t="s">
        <v>1190</v>
      </c>
    </row>
    <row r="20" spans="1:20" ht="18">
      <c r="A20" s="824"/>
    </row>
    <row r="21" spans="1:20">
      <c r="A21" s="833"/>
    </row>
    <row r="22" spans="1:20" ht="60" customHeight="1">
      <c r="A22" s="1009" t="s">
        <v>878</v>
      </c>
      <c r="B22" s="1009"/>
      <c r="C22" s="1009"/>
      <c r="D22" s="876"/>
      <c r="E22" s="876"/>
      <c r="F22" s="876"/>
      <c r="G22" s="876"/>
      <c r="H22" s="876"/>
      <c r="I22" s="876"/>
      <c r="J22" s="876"/>
      <c r="K22" s="876"/>
      <c r="L22" s="876"/>
      <c r="M22" s="876"/>
      <c r="N22" s="876"/>
      <c r="O22" s="876"/>
      <c r="P22" s="876"/>
      <c r="Q22" s="876"/>
      <c r="R22" s="876"/>
      <c r="S22" s="876"/>
      <c r="T22" s="876"/>
    </row>
    <row r="23" spans="1:20">
      <c r="A23" s="833"/>
    </row>
    <row r="24" spans="1:20">
      <c r="A24" s="833"/>
    </row>
    <row r="25" spans="1:20" ht="15.75" customHeight="1">
      <c r="A25" s="1010" t="s">
        <v>1174</v>
      </c>
      <c r="B25" s="1010"/>
      <c r="C25" s="875" t="s">
        <v>1175</v>
      </c>
      <c r="D25" s="875"/>
      <c r="E25" s="875"/>
      <c r="F25" s="875"/>
    </row>
    <row r="26" spans="1:20">
      <c r="A26" s="833"/>
    </row>
    <row r="27" spans="1:20">
      <c r="A27" s="833" t="s">
        <v>883</v>
      </c>
      <c r="C27" t="s">
        <v>1191</v>
      </c>
    </row>
    <row r="28" spans="1:20">
      <c r="A28" s="833"/>
    </row>
    <row r="29" spans="1:20">
      <c r="A29" s="833"/>
    </row>
    <row r="30" spans="1:20">
      <c r="A30" s="833" t="s">
        <v>1192</v>
      </c>
      <c r="C30" t="s">
        <v>1177</v>
      </c>
    </row>
    <row r="31" spans="1:20">
      <c r="A31" s="833"/>
    </row>
    <row r="32" spans="1:20">
      <c r="A32" s="833"/>
    </row>
    <row r="33" spans="1:3">
      <c r="A33" s="833"/>
    </row>
    <row r="34" spans="1:3">
      <c r="A34" s="833"/>
    </row>
    <row r="35" spans="1:3">
      <c r="A35" s="833"/>
    </row>
    <row r="36" spans="1:3">
      <c r="A36" s="833"/>
    </row>
    <row r="37" spans="1:3">
      <c r="A37" s="833"/>
    </row>
    <row r="38" spans="1:3">
      <c r="A38" s="833"/>
    </row>
    <row r="39" spans="1:3">
      <c r="A39" s="833"/>
    </row>
    <row r="40" spans="1:3">
      <c r="A40" s="833"/>
    </row>
    <row r="41" spans="1:3">
      <c r="A41" s="833"/>
    </row>
    <row r="42" spans="1:3">
      <c r="A42" s="833"/>
    </row>
    <row r="43" spans="1:3">
      <c r="A43" s="833"/>
    </row>
    <row r="45" spans="1:3" ht="18">
      <c r="B45" s="836" t="s">
        <v>1193</v>
      </c>
    </row>
    <row r="46" spans="1:3" ht="18">
      <c r="A46" s="823" t="s">
        <v>1194</v>
      </c>
    </row>
    <row r="47" spans="1:3" ht="29" thickBot="1">
      <c r="A47" s="834" t="s">
        <v>1195</v>
      </c>
    </row>
    <row r="48" spans="1:3" ht="60" customHeight="1" thickBot="1">
      <c r="A48" s="1186" t="s">
        <v>1196</v>
      </c>
      <c r="B48" s="1187"/>
      <c r="C48" s="1188"/>
    </row>
    <row r="49" spans="1:3" ht="16" thickBot="1">
      <c r="A49" s="1183" t="s">
        <v>1197</v>
      </c>
      <c r="B49" s="1184"/>
      <c r="C49" s="1185"/>
    </row>
    <row r="50" spans="1:3" ht="16" thickBot="1">
      <c r="A50" s="837" t="s">
        <v>1198</v>
      </c>
      <c r="B50" s="828" t="s">
        <v>1199</v>
      </c>
      <c r="C50" s="829" t="s">
        <v>922</v>
      </c>
    </row>
    <row r="51" spans="1:3" ht="61" thickBot="1">
      <c r="A51" s="830" t="s">
        <v>1200</v>
      </c>
      <c r="B51" s="831" t="s">
        <v>1201</v>
      </c>
      <c r="C51" s="832">
        <v>500</v>
      </c>
    </row>
    <row r="52" spans="1:3" ht="61" thickBot="1">
      <c r="A52" s="830" t="s">
        <v>1202</v>
      </c>
      <c r="B52" s="831" t="s">
        <v>1203</v>
      </c>
      <c r="C52" s="832">
        <v>500</v>
      </c>
    </row>
    <row r="53" spans="1:3" ht="46" thickBot="1">
      <c r="A53" s="830" t="s">
        <v>1204</v>
      </c>
      <c r="B53" s="831" t="s">
        <v>1205</v>
      </c>
      <c r="C53" s="832">
        <v>500</v>
      </c>
    </row>
    <row r="54" spans="1:3" ht="46" thickBot="1">
      <c r="A54" s="830" t="s">
        <v>1206</v>
      </c>
      <c r="B54" s="831" t="s">
        <v>1207</v>
      </c>
      <c r="C54" s="832">
        <v>500</v>
      </c>
    </row>
    <row r="55" spans="1:3" ht="61" thickBot="1">
      <c r="A55" s="830" t="s">
        <v>1208</v>
      </c>
      <c r="B55" s="831" t="s">
        <v>1209</v>
      </c>
      <c r="C55" s="832">
        <v>500</v>
      </c>
    </row>
    <row r="56" spans="1:3" ht="31" thickBot="1">
      <c r="A56" s="830" t="s">
        <v>1210</v>
      </c>
      <c r="B56" s="831" t="s">
        <v>1211</v>
      </c>
      <c r="C56" s="832">
        <v>500</v>
      </c>
    </row>
    <row r="57" spans="1:3" ht="61" thickBot="1">
      <c r="A57" s="830" t="s">
        <v>1212</v>
      </c>
      <c r="B57" s="831" t="s">
        <v>1213</v>
      </c>
      <c r="C57" s="832">
        <v>500</v>
      </c>
    </row>
    <row r="58" spans="1:3" ht="31" thickBot="1">
      <c r="A58" s="830" t="s">
        <v>1214</v>
      </c>
      <c r="B58" s="831" t="s">
        <v>1215</v>
      </c>
      <c r="C58" s="832">
        <v>500</v>
      </c>
    </row>
    <row r="59" spans="1:3" ht="31" thickBot="1">
      <c r="A59" s="830" t="s">
        <v>1216</v>
      </c>
      <c r="B59" s="831" t="s">
        <v>1217</v>
      </c>
      <c r="C59" s="832">
        <v>500</v>
      </c>
    </row>
    <row r="60" spans="1:3" ht="76" thickBot="1">
      <c r="A60" s="830" t="s">
        <v>1218</v>
      </c>
      <c r="B60" s="831" t="s">
        <v>1219</v>
      </c>
      <c r="C60" s="832">
        <v>1000</v>
      </c>
    </row>
    <row r="61" spans="1:3" ht="16" thickBot="1">
      <c r="A61" s="830" t="s">
        <v>1220</v>
      </c>
      <c r="B61" s="831" t="s">
        <v>1221</v>
      </c>
      <c r="C61" s="832">
        <v>1000</v>
      </c>
    </row>
    <row r="62" spans="1:3" ht="30" customHeight="1" thickBot="1">
      <c r="A62" s="1183" t="s">
        <v>1222</v>
      </c>
      <c r="B62" s="1184"/>
      <c r="C62" s="1185"/>
    </row>
    <row r="63" spans="1:3" ht="16" thickBot="1">
      <c r="A63" s="837" t="s">
        <v>1198</v>
      </c>
      <c r="B63" s="829" t="s">
        <v>1199</v>
      </c>
      <c r="C63" s="829" t="s">
        <v>922</v>
      </c>
    </row>
    <row r="64" spans="1:3" ht="46" thickBot="1">
      <c r="A64" s="830" t="s">
        <v>1223</v>
      </c>
      <c r="B64" s="831" t="s">
        <v>1224</v>
      </c>
      <c r="C64" s="838">
        <v>500</v>
      </c>
    </row>
    <row r="65" spans="1:3" ht="31" thickBot="1">
      <c r="A65" s="830">
        <v>20</v>
      </c>
      <c r="B65" s="831" t="s">
        <v>1225</v>
      </c>
      <c r="C65" s="832">
        <v>500</v>
      </c>
    </row>
    <row r="66" spans="1:3" ht="46" thickBot="1">
      <c r="A66" s="830">
        <v>18</v>
      </c>
      <c r="B66" s="831" t="s">
        <v>1226</v>
      </c>
      <c r="C66" s="832">
        <v>500</v>
      </c>
    </row>
    <row r="67" spans="1:3" ht="31" thickBot="1">
      <c r="A67" s="830">
        <v>19</v>
      </c>
      <c r="B67" s="831" t="s">
        <v>1227</v>
      </c>
      <c r="C67" s="832">
        <v>1000</v>
      </c>
    </row>
    <row r="68" spans="1:3" ht="31" thickBot="1">
      <c r="A68" s="830">
        <v>21</v>
      </c>
      <c r="B68" s="831" t="s">
        <v>1228</v>
      </c>
      <c r="C68" s="832">
        <v>1000</v>
      </c>
    </row>
    <row r="69" spans="1:3" ht="16" thickBot="1">
      <c r="A69" s="830">
        <v>22</v>
      </c>
      <c r="B69" s="831" t="s">
        <v>1229</v>
      </c>
      <c r="C69" s="838">
        <v>500</v>
      </c>
    </row>
    <row r="70" spans="1:3" ht="31" thickBot="1">
      <c r="A70" s="830" t="s">
        <v>1230</v>
      </c>
      <c r="B70" s="831" t="s">
        <v>1231</v>
      </c>
      <c r="C70" s="838">
        <v>1000</v>
      </c>
    </row>
    <row r="71" spans="1:3" ht="61" thickBot="1">
      <c r="A71" s="830" t="s">
        <v>1232</v>
      </c>
      <c r="B71" s="831" t="s">
        <v>1233</v>
      </c>
      <c r="C71" s="832">
        <v>500</v>
      </c>
    </row>
    <row r="72" spans="1:3" ht="91" thickBot="1">
      <c r="A72" s="830">
        <v>26</v>
      </c>
      <c r="B72" s="831" t="s">
        <v>1234</v>
      </c>
      <c r="C72" s="832">
        <v>500</v>
      </c>
    </row>
    <row r="73" spans="1:3" ht="30" customHeight="1" thickBot="1">
      <c r="A73" s="1183" t="s">
        <v>1235</v>
      </c>
      <c r="B73" s="1184"/>
      <c r="C73" s="1185"/>
    </row>
    <row r="74" spans="1:3" ht="31" thickBot="1">
      <c r="A74" s="830" t="s">
        <v>1236</v>
      </c>
      <c r="B74" s="831" t="s">
        <v>1237</v>
      </c>
      <c r="C74" s="832">
        <v>1000</v>
      </c>
    </row>
    <row r="75" spans="1:3" ht="61" thickBot="1">
      <c r="A75" s="830" t="s">
        <v>1238</v>
      </c>
      <c r="B75" s="831" t="s">
        <v>1239</v>
      </c>
      <c r="C75" s="832">
        <v>1000</v>
      </c>
    </row>
    <row r="76" spans="1:3" ht="344.25" customHeight="1">
      <c r="A76" s="1176" t="s">
        <v>1240</v>
      </c>
      <c r="B76" s="1176" t="s">
        <v>1241</v>
      </c>
      <c r="C76" s="1179">
        <v>500</v>
      </c>
    </row>
    <row r="77" spans="1:3" ht="16" thickBot="1">
      <c r="A77" s="1178"/>
      <c r="B77" s="1178"/>
      <c r="C77" s="1181"/>
    </row>
    <row r="78" spans="1:3" ht="46">
      <c r="A78" s="1176" t="s">
        <v>1242</v>
      </c>
      <c r="B78" s="835" t="s">
        <v>1243</v>
      </c>
      <c r="C78" s="1179">
        <v>500</v>
      </c>
    </row>
    <row r="79" spans="1:3" ht="60">
      <c r="A79" s="1177"/>
      <c r="B79" s="835" t="s">
        <v>1244</v>
      </c>
      <c r="C79" s="1180"/>
    </row>
    <row r="80" spans="1:3" ht="16" thickBot="1">
      <c r="A80" s="1178"/>
      <c r="B80" s="831"/>
      <c r="C80" s="1181"/>
    </row>
    <row r="81" spans="1:3" ht="76" thickBot="1">
      <c r="A81" s="830" t="s">
        <v>1245</v>
      </c>
      <c r="B81" s="831" t="s">
        <v>1246</v>
      </c>
      <c r="C81" s="832">
        <v>500</v>
      </c>
    </row>
    <row r="82" spans="1:3" ht="61" thickBot="1">
      <c r="A82" s="830">
        <v>15</v>
      </c>
      <c r="B82" s="831" t="s">
        <v>1247</v>
      </c>
      <c r="C82" s="832">
        <v>500</v>
      </c>
    </row>
    <row r="83" spans="1:3" ht="16" thickBot="1">
      <c r="A83" s="830"/>
      <c r="B83" s="831"/>
      <c r="C83" s="831"/>
    </row>
    <row r="84" spans="1:3" ht="16" thickBot="1">
      <c r="A84" s="830"/>
      <c r="B84" s="831"/>
      <c r="C84" s="831"/>
    </row>
    <row r="85" spans="1:3" ht="16" thickBot="1">
      <c r="A85" s="830"/>
      <c r="B85" s="831"/>
      <c r="C85" s="831"/>
    </row>
    <row r="86" spans="1:3" ht="16" thickBot="1">
      <c r="A86" s="830"/>
      <c r="B86" s="831"/>
      <c r="C86" s="831"/>
    </row>
    <row r="87" spans="1:3" ht="16" thickBot="1">
      <c r="A87" s="830"/>
      <c r="B87" s="831"/>
      <c r="C87" s="831"/>
    </row>
    <row r="88" spans="1:3" ht="16" thickBot="1">
      <c r="A88" s="830"/>
      <c r="B88" s="831"/>
      <c r="C88" s="831"/>
    </row>
    <row r="89" spans="1:3">
      <c r="A89" s="833"/>
    </row>
  </sheetData>
  <mergeCells count="20">
    <mergeCell ref="A8:F8"/>
    <mergeCell ref="A49:C49"/>
    <mergeCell ref="A62:C62"/>
    <mergeCell ref="A73:C73"/>
    <mergeCell ref="A76:A77"/>
    <mergeCell ref="B76:B77"/>
    <mergeCell ref="C76:C77"/>
    <mergeCell ref="A48:C48"/>
    <mergeCell ref="A17:B17"/>
    <mergeCell ref="A18:B19"/>
    <mergeCell ref="A16:B16"/>
    <mergeCell ref="A9:B9"/>
    <mergeCell ref="A10:B10"/>
    <mergeCell ref="A11:B11"/>
    <mergeCell ref="A12:A14"/>
    <mergeCell ref="A15:B15"/>
    <mergeCell ref="A25:B25"/>
    <mergeCell ref="A22:C22"/>
    <mergeCell ref="A78:A80"/>
    <mergeCell ref="C78:C80"/>
  </mergeCells>
  <pageMargins left="0.70866141732283472" right="0.70866141732283472" top="0.74803149606299213" bottom="0.74803149606299213"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09"/>
  <sheetViews>
    <sheetView tabSelected="1" view="pageBreakPreview" zoomScaleNormal="100" zoomScaleSheetLayoutView="100" workbookViewId="0">
      <pane ySplit="3" topLeftCell="A78" activePane="bottomLeft" state="frozen"/>
      <selection pane="bottomLeft" activeCell="R3" sqref="R3"/>
    </sheetView>
  </sheetViews>
  <sheetFormatPr baseColWidth="10" defaultColWidth="9.1640625" defaultRowHeight="14"/>
  <cols>
    <col min="1" max="1" width="2.5" style="148" customWidth="1"/>
    <col min="2" max="2" width="24.1640625" style="62" customWidth="1"/>
    <col min="3" max="3" width="38.5" style="62" customWidth="1"/>
    <col min="4" max="4" width="15.83203125" style="62" customWidth="1"/>
    <col min="5" max="5" width="13.5" style="62" hidden="1" customWidth="1"/>
    <col min="6" max="6" width="13.5" style="13" hidden="1" customWidth="1"/>
    <col min="7" max="7" width="13.5" style="642" hidden="1" customWidth="1"/>
    <col min="8" max="8" width="14.5" style="642" hidden="1" customWidth="1"/>
    <col min="9" max="13" width="13.5" style="642" hidden="1" customWidth="1"/>
    <col min="14" max="14" width="13.5" style="642" customWidth="1"/>
    <col min="15" max="16" width="13.5" style="753" customWidth="1"/>
    <col min="17" max="17" width="14.1640625" style="935" customWidth="1"/>
    <col min="18" max="19" width="12" style="856" customWidth="1"/>
    <col min="20" max="16384" width="9.1640625" style="13"/>
  </cols>
  <sheetData>
    <row r="1" spans="1:19" ht="24">
      <c r="B1" s="377" t="s">
        <v>297</v>
      </c>
    </row>
    <row r="2" spans="1:19" s="5" customFormat="1" ht="26">
      <c r="A2" s="1"/>
      <c r="B2" s="1" t="s">
        <v>298</v>
      </c>
      <c r="C2" s="2"/>
      <c r="D2" s="2"/>
      <c r="E2" s="4"/>
      <c r="G2" s="643"/>
      <c r="H2" s="643"/>
      <c r="I2" s="643"/>
      <c r="J2" s="643"/>
      <c r="K2" s="643"/>
      <c r="L2" s="643"/>
      <c r="M2" s="643"/>
      <c r="N2" s="643"/>
      <c r="O2" s="890"/>
      <c r="P2" s="890"/>
      <c r="Q2" s="890"/>
      <c r="R2" s="643"/>
      <c r="S2" s="643"/>
    </row>
    <row r="3" spans="1:19" customFormat="1" ht="19">
      <c r="A3" s="7"/>
      <c r="B3" s="7"/>
      <c r="C3" s="7" t="s">
        <v>1249</v>
      </c>
      <c r="D3" s="7"/>
      <c r="E3" s="4"/>
      <c r="G3" s="643"/>
      <c r="H3" s="643"/>
      <c r="I3" s="643"/>
      <c r="J3" s="643"/>
      <c r="K3" s="643"/>
      <c r="L3" s="643"/>
      <c r="M3" s="643"/>
      <c r="N3" s="643"/>
      <c r="O3" s="890"/>
      <c r="P3" s="890"/>
      <c r="Q3" s="422"/>
      <c r="R3" s="351"/>
      <c r="S3" s="351"/>
    </row>
    <row r="4" spans="1:19" ht="15" thickBot="1">
      <c r="A4" s="62"/>
      <c r="B4" s="61"/>
      <c r="E4" s="13"/>
    </row>
    <row r="5" spans="1:19" ht="31" thickBot="1">
      <c r="A5" s="3"/>
      <c r="B5" s="9"/>
      <c r="C5" s="10"/>
      <c r="D5" s="11"/>
      <c r="E5" s="12" t="s">
        <v>299</v>
      </c>
      <c r="F5" s="12" t="s">
        <v>300</v>
      </c>
      <c r="G5" s="692" t="s">
        <v>301</v>
      </c>
      <c r="H5" s="692" t="s">
        <v>302</v>
      </c>
      <c r="I5" s="692" t="s">
        <v>303</v>
      </c>
      <c r="J5" s="693" t="s">
        <v>304</v>
      </c>
      <c r="K5" s="693" t="s">
        <v>304</v>
      </c>
      <c r="L5" s="693" t="s">
        <v>305</v>
      </c>
      <c r="M5" s="694" t="s">
        <v>306</v>
      </c>
      <c r="N5" s="822" t="s">
        <v>307</v>
      </c>
      <c r="O5" s="700" t="s">
        <v>308</v>
      </c>
      <c r="P5" s="914" t="s">
        <v>309</v>
      </c>
      <c r="Q5" s="936" t="s">
        <v>310</v>
      </c>
      <c r="R5" s="870" t="s">
        <v>1248</v>
      </c>
      <c r="S5" s="870" t="s">
        <v>1251</v>
      </c>
    </row>
    <row r="6" spans="1:19" s="283" customFormat="1" ht="17" thickBot="1">
      <c r="A6" s="282"/>
      <c r="B6" s="995" t="s">
        <v>30</v>
      </c>
      <c r="C6" s="996"/>
      <c r="D6" s="997"/>
      <c r="E6" s="988"/>
      <c r="F6" s="988"/>
      <c r="G6" s="988"/>
      <c r="H6" s="988"/>
      <c r="I6" s="1008"/>
      <c r="J6" s="1008"/>
      <c r="K6" s="1008"/>
      <c r="L6" s="647"/>
      <c r="M6" s="647"/>
      <c r="N6" s="648"/>
      <c r="O6" s="648"/>
      <c r="P6" s="915"/>
      <c r="Q6" s="937"/>
      <c r="R6" s="874"/>
      <c r="S6" s="874"/>
    </row>
    <row r="7" spans="1:19" s="149" customFormat="1" ht="15" thickBot="1">
      <c r="C7" s="150"/>
      <c r="D7" s="151"/>
      <c r="E7" s="151"/>
      <c r="G7" s="649"/>
      <c r="H7" s="649"/>
      <c r="I7" s="649"/>
      <c r="J7" s="649"/>
      <c r="K7" s="649"/>
      <c r="L7" s="649"/>
      <c r="M7" s="649"/>
      <c r="N7" s="650"/>
      <c r="O7" s="891"/>
      <c r="P7" s="916"/>
      <c r="Q7" s="938"/>
      <c r="R7" s="857"/>
      <c r="S7" s="857"/>
    </row>
    <row r="8" spans="1:19" s="149" customFormat="1" ht="31" thickBot="1">
      <c r="A8" s="153"/>
      <c r="B8" s="9" t="s">
        <v>204</v>
      </c>
      <c r="C8" s="10"/>
      <c r="D8" s="11"/>
      <c r="E8" s="12" t="s">
        <v>299</v>
      </c>
      <c r="F8" s="12" t="s">
        <v>300</v>
      </c>
      <c r="G8" s="644" t="s">
        <v>301</v>
      </c>
      <c r="H8" s="644" t="s">
        <v>302</v>
      </c>
      <c r="I8" s="645" t="s">
        <v>311</v>
      </c>
      <c r="J8" s="645" t="s">
        <v>304</v>
      </c>
      <c r="K8" s="645" t="s">
        <v>304</v>
      </c>
      <c r="L8" s="645" t="s">
        <v>305</v>
      </c>
      <c r="M8" s="646" t="str">
        <f>M5</f>
        <v>2022/2023</v>
      </c>
      <c r="N8" s="822" t="s">
        <v>307</v>
      </c>
      <c r="O8" s="700" t="s">
        <v>308</v>
      </c>
      <c r="P8" s="914" t="s">
        <v>309</v>
      </c>
      <c r="Q8" s="939" t="s">
        <v>310</v>
      </c>
      <c r="R8" s="871" t="s">
        <v>1248</v>
      </c>
      <c r="S8" s="871" t="s">
        <v>1251</v>
      </c>
    </row>
    <row r="9" spans="1:19" ht="15" thickBot="1">
      <c r="A9" s="192"/>
      <c r="B9" s="193" t="s">
        <v>205</v>
      </c>
      <c r="C9" s="194" t="s">
        <v>15</v>
      </c>
      <c r="D9" s="195"/>
      <c r="E9" s="195"/>
      <c r="F9" s="195"/>
      <c r="G9" s="651"/>
      <c r="H9" s="651"/>
      <c r="I9" s="651"/>
      <c r="J9" s="651"/>
      <c r="K9" s="651"/>
      <c r="L9" s="651"/>
      <c r="M9" s="652"/>
      <c r="N9" s="653"/>
      <c r="O9" s="892"/>
      <c r="P9" s="917"/>
      <c r="Q9" s="898"/>
      <c r="R9" s="668"/>
      <c r="S9" s="668"/>
    </row>
    <row r="10" spans="1:19" ht="15" thickBot="1">
      <c r="A10" s="192"/>
      <c r="B10" s="193"/>
      <c r="C10" s="197" t="s">
        <v>207</v>
      </c>
      <c r="D10" s="195"/>
      <c r="E10" s="195"/>
      <c r="F10" s="195"/>
      <c r="G10" s="651"/>
      <c r="H10" s="651"/>
      <c r="I10" s="651"/>
      <c r="J10" s="651"/>
      <c r="K10" s="651"/>
      <c r="L10" s="651"/>
      <c r="M10" s="651"/>
      <c r="N10" s="651"/>
      <c r="O10" s="684"/>
      <c r="P10" s="918"/>
      <c r="Q10" s="898"/>
      <c r="R10" s="668"/>
      <c r="S10" s="668"/>
    </row>
    <row r="11" spans="1:19" ht="15" thickBot="1">
      <c r="A11" s="192"/>
      <c r="B11" s="195"/>
      <c r="C11" s="195" t="s">
        <v>243</v>
      </c>
      <c r="D11" s="198"/>
      <c r="E11" s="400">
        <v>37.921293120000001</v>
      </c>
      <c r="F11" s="400" t="e">
        <f>#REF!</f>
        <v>#REF!</v>
      </c>
      <c r="G11" s="685" t="e">
        <f>F11</f>
        <v>#REF!</v>
      </c>
      <c r="H11" s="685">
        <v>42.69</v>
      </c>
      <c r="I11" s="685">
        <f t="shared" ref="I11:I12" si="0">H11*5.3%+H11</f>
        <v>44.952569999999994</v>
      </c>
      <c r="J11" s="685">
        <f>I11-I11*0.08</f>
        <v>41.356364399999997</v>
      </c>
      <c r="K11" s="685">
        <f>I11*5.3%+I11</f>
        <v>47.335056209999991</v>
      </c>
      <c r="L11" s="685">
        <f t="shared" ref="L11:L46" si="1">J11*10%+J11</f>
        <v>45.492000839999996</v>
      </c>
      <c r="M11" s="685">
        <f t="shared" ref="M11:M14" si="2">L11*5%+L11</f>
        <v>47.766600881999999</v>
      </c>
      <c r="N11" s="685">
        <f t="shared" ref="N11:N36" si="3">M11*5.3%+M11</f>
        <v>50.298230728745999</v>
      </c>
      <c r="O11" s="685">
        <f t="shared" ref="O11:O45" si="4">N11*4.9%+N11</f>
        <v>52.762844034454552</v>
      </c>
      <c r="P11" s="919">
        <f t="shared" ref="P11:P46" si="5">O11*4.4%+O11</f>
        <v>55.084409171970556</v>
      </c>
      <c r="Q11" s="898">
        <f t="shared" ref="Q11:Q46" si="6">O11*3.7%+O11</f>
        <v>54.715069263729369</v>
      </c>
      <c r="R11" s="668">
        <f t="shared" ref="R11:R46" si="7">Q11*3.3%+Q11</f>
        <v>56.520666549432441</v>
      </c>
      <c r="S11" s="668">
        <f t="shared" ref="S11:S46" si="8">R11*3.2%+R11</f>
        <v>58.329327879014279</v>
      </c>
    </row>
    <row r="12" spans="1:19" ht="15" thickBot="1">
      <c r="A12" s="192"/>
      <c r="B12" s="195" t="s">
        <v>116</v>
      </c>
      <c r="C12" s="195" t="s">
        <v>117</v>
      </c>
      <c r="D12" s="195"/>
      <c r="E12" s="400">
        <v>18.960646560000001</v>
      </c>
      <c r="F12" s="400" t="e">
        <f>+F11/2</f>
        <v>#REF!</v>
      </c>
      <c r="G12" s="685" t="e">
        <f>+G11/2</f>
        <v>#REF!</v>
      </c>
      <c r="H12" s="685">
        <v>21.34</v>
      </c>
      <c r="I12" s="685">
        <f t="shared" si="0"/>
        <v>22.471019999999999</v>
      </c>
      <c r="J12" s="685">
        <f t="shared" ref="J12:J14" si="9">I12-I12*0.08</f>
        <v>20.673338399999999</v>
      </c>
      <c r="K12" s="685">
        <f>I12*5.3%+I12</f>
        <v>23.661984059999998</v>
      </c>
      <c r="L12" s="685">
        <f t="shared" si="1"/>
        <v>22.740672239999999</v>
      </c>
      <c r="M12" s="685">
        <f t="shared" si="2"/>
        <v>23.877705851999998</v>
      </c>
      <c r="N12" s="685">
        <f t="shared" si="3"/>
        <v>25.143224262155996</v>
      </c>
      <c r="O12" s="685">
        <f t="shared" si="4"/>
        <v>26.375242251001641</v>
      </c>
      <c r="P12" s="919">
        <f t="shared" si="5"/>
        <v>27.535752910045712</v>
      </c>
      <c r="Q12" s="898">
        <f t="shared" si="6"/>
        <v>27.351126214288701</v>
      </c>
      <c r="R12" s="668">
        <f t="shared" si="7"/>
        <v>28.253713379360228</v>
      </c>
      <c r="S12" s="668">
        <f t="shared" si="8"/>
        <v>29.157832207499755</v>
      </c>
    </row>
    <row r="13" spans="1:19" ht="15" thickBot="1">
      <c r="A13" s="192"/>
      <c r="B13" s="193"/>
      <c r="C13" s="195" t="s">
        <v>312</v>
      </c>
      <c r="D13" s="198"/>
      <c r="E13" s="689"/>
      <c r="F13" s="689"/>
      <c r="G13" s="687">
        <v>0</v>
      </c>
      <c r="H13" s="685">
        <v>500</v>
      </c>
      <c r="I13" s="685">
        <f t="shared" ref="I13" si="10">H13*5.3%+H13</f>
        <v>526.5</v>
      </c>
      <c r="J13" s="685">
        <f t="shared" si="9"/>
        <v>484.38</v>
      </c>
      <c r="K13" s="685">
        <f>I13*5.3%+I13</f>
        <v>554.40449999999998</v>
      </c>
      <c r="L13" s="685">
        <f t="shared" si="1"/>
        <v>532.81799999999998</v>
      </c>
      <c r="M13" s="685">
        <f t="shared" si="2"/>
        <v>559.45889999999997</v>
      </c>
      <c r="N13" s="685">
        <f t="shared" si="3"/>
        <v>589.11022170000001</v>
      </c>
      <c r="O13" s="685">
        <f t="shared" si="4"/>
        <v>617.9766225633</v>
      </c>
      <c r="P13" s="919">
        <f t="shared" si="5"/>
        <v>645.16759395608517</v>
      </c>
      <c r="Q13" s="898">
        <f t="shared" si="6"/>
        <v>640.84175759814207</v>
      </c>
      <c r="R13" s="668">
        <f t="shared" si="7"/>
        <v>661.98953559888071</v>
      </c>
      <c r="S13" s="668">
        <f t="shared" si="8"/>
        <v>683.1732007380449</v>
      </c>
    </row>
    <row r="14" spans="1:19" ht="15" thickBot="1">
      <c r="A14" s="192"/>
      <c r="B14" s="193"/>
      <c r="C14" s="195" t="s">
        <v>313</v>
      </c>
      <c r="D14" s="198"/>
      <c r="E14" s="323"/>
      <c r="F14" s="323"/>
      <c r="G14" s="656">
        <v>0</v>
      </c>
      <c r="H14" s="685">
        <v>800</v>
      </c>
      <c r="I14" s="685">
        <f t="shared" ref="I14" si="11">H14*5.3%+H14</f>
        <v>842.4</v>
      </c>
      <c r="J14" s="685">
        <f t="shared" si="9"/>
        <v>775.00800000000004</v>
      </c>
      <c r="K14" s="685">
        <f>I14*5.3%+I14</f>
        <v>887.04719999999998</v>
      </c>
      <c r="L14" s="685">
        <f t="shared" si="1"/>
        <v>852.50880000000006</v>
      </c>
      <c r="M14" s="685">
        <f t="shared" si="2"/>
        <v>895.13424000000009</v>
      </c>
      <c r="N14" s="685">
        <f t="shared" si="3"/>
        <v>942.57635472000015</v>
      </c>
      <c r="O14" s="685">
        <f t="shared" si="4"/>
        <v>988.76259610128022</v>
      </c>
      <c r="P14" s="919">
        <f t="shared" si="5"/>
        <v>1032.2681503297365</v>
      </c>
      <c r="Q14" s="898">
        <f t="shared" si="6"/>
        <v>1025.3468121570277</v>
      </c>
      <c r="R14" s="668">
        <f t="shared" si="7"/>
        <v>1059.1832569582095</v>
      </c>
      <c r="S14" s="668">
        <f t="shared" si="8"/>
        <v>1093.0771211808722</v>
      </c>
    </row>
    <row r="15" spans="1:19" ht="16" thickBot="1">
      <c r="A15" s="192"/>
      <c r="B15" s="195"/>
      <c r="C15" s="195" t="s">
        <v>209</v>
      </c>
      <c r="D15" s="198"/>
      <c r="E15" s="395"/>
      <c r="F15" s="395"/>
      <c r="G15" s="655"/>
      <c r="H15" s="686"/>
      <c r="I15" s="686"/>
      <c r="J15" s="686"/>
      <c r="K15" s="684"/>
      <c r="L15" s="685">
        <f t="shared" si="1"/>
        <v>0</v>
      </c>
      <c r="M15" s="684"/>
      <c r="N15" s="685">
        <f t="shared" si="3"/>
        <v>0</v>
      </c>
      <c r="O15" s="685">
        <f t="shared" si="4"/>
        <v>0</v>
      </c>
      <c r="P15" s="919">
        <f t="shared" si="5"/>
        <v>0</v>
      </c>
      <c r="Q15" s="898">
        <f t="shared" si="6"/>
        <v>0</v>
      </c>
      <c r="R15" s="668">
        <f t="shared" si="7"/>
        <v>0</v>
      </c>
      <c r="S15" s="668">
        <f t="shared" si="8"/>
        <v>0</v>
      </c>
    </row>
    <row r="16" spans="1:19" ht="15" thickBot="1">
      <c r="A16" s="192"/>
      <c r="B16" s="195"/>
      <c r="C16" s="200" t="s">
        <v>210</v>
      </c>
      <c r="D16" s="198"/>
      <c r="E16" s="195" t="s">
        <v>14</v>
      </c>
      <c r="F16" s="195" t="s">
        <v>14</v>
      </c>
      <c r="G16" s="651" t="s">
        <v>14</v>
      </c>
      <c r="H16" s="684" t="s">
        <v>14</v>
      </c>
      <c r="I16" s="684" t="s">
        <v>14</v>
      </c>
      <c r="J16" s="684"/>
      <c r="K16" s="684" t="str">
        <f>I16</f>
        <v>Free</v>
      </c>
      <c r="L16" s="685">
        <f t="shared" si="1"/>
        <v>0</v>
      </c>
      <c r="M16" s="684">
        <f>L16</f>
        <v>0</v>
      </c>
      <c r="N16" s="685">
        <f t="shared" si="3"/>
        <v>0</v>
      </c>
      <c r="O16" s="685">
        <f t="shared" si="4"/>
        <v>0</v>
      </c>
      <c r="P16" s="919">
        <f t="shared" si="5"/>
        <v>0</v>
      </c>
      <c r="Q16" s="898">
        <f t="shared" si="6"/>
        <v>0</v>
      </c>
      <c r="R16" s="668">
        <f t="shared" si="7"/>
        <v>0</v>
      </c>
      <c r="S16" s="668">
        <f t="shared" si="8"/>
        <v>0</v>
      </c>
    </row>
    <row r="17" spans="1:19" ht="15" thickBot="1">
      <c r="A17" s="192"/>
      <c r="B17" s="195"/>
      <c r="C17" s="200" t="s">
        <v>211</v>
      </c>
      <c r="D17" s="198"/>
      <c r="E17" s="400">
        <v>5.03385076008</v>
      </c>
      <c r="F17" s="400">
        <v>6.2514860999999993</v>
      </c>
      <c r="G17" s="654">
        <f>F17*33%+F17</f>
        <v>8.3144765129999989</v>
      </c>
      <c r="H17" s="685">
        <f>G17*30%+G17</f>
        <v>10.808819466899998</v>
      </c>
      <c r="I17" s="685">
        <f>H17*25%+H17</f>
        <v>13.511024333624997</v>
      </c>
      <c r="J17" s="685">
        <f>I17-I17*0.08</f>
        <v>12.430142386934998</v>
      </c>
      <c r="K17" s="684">
        <f>I17*5.4%+I17</f>
        <v>14.240619647640747</v>
      </c>
      <c r="L17" s="685">
        <f t="shared" si="1"/>
        <v>13.673156625628497</v>
      </c>
      <c r="M17" s="684">
        <f>L17*5%+L17</f>
        <v>14.356814456909921</v>
      </c>
      <c r="N17" s="685">
        <f t="shared" si="3"/>
        <v>15.117725623126148</v>
      </c>
      <c r="O17" s="685">
        <f t="shared" si="4"/>
        <v>15.858494178659329</v>
      </c>
      <c r="P17" s="919">
        <f t="shared" si="5"/>
        <v>16.556267922520341</v>
      </c>
      <c r="Q17" s="898">
        <f t="shared" si="6"/>
        <v>16.445258463269724</v>
      </c>
      <c r="R17" s="668">
        <f t="shared" si="7"/>
        <v>16.987951992557626</v>
      </c>
      <c r="S17" s="668">
        <f t="shared" si="8"/>
        <v>17.531566456319471</v>
      </c>
    </row>
    <row r="18" spans="1:19" ht="15" thickBot="1">
      <c r="A18" s="192"/>
      <c r="B18" s="195"/>
      <c r="C18" s="200" t="s">
        <v>212</v>
      </c>
      <c r="D18" s="198"/>
      <c r="E18" s="323">
        <v>5.3610510594851997</v>
      </c>
      <c r="F18" s="323">
        <v>7.29</v>
      </c>
      <c r="G18" s="654">
        <f t="shared" ref="G18:G20" si="12">F18*33%+F18</f>
        <v>9.6957000000000004</v>
      </c>
      <c r="H18" s="685">
        <f t="shared" ref="H18:H20" si="13">G18*30%+G18</f>
        <v>12.604410000000001</v>
      </c>
      <c r="I18" s="685">
        <f t="shared" ref="I18:I20" si="14">H18*25%+H18</f>
        <v>15.755512500000002</v>
      </c>
      <c r="J18" s="685">
        <f t="shared" ref="J18:J45" si="15">I18-I18*0.08</f>
        <v>14.495071500000002</v>
      </c>
      <c r="K18" s="684">
        <f>I18*5.4%+I18</f>
        <v>16.606310175000001</v>
      </c>
      <c r="L18" s="685">
        <f t="shared" si="1"/>
        <v>15.944578650000002</v>
      </c>
      <c r="M18" s="684">
        <f>L18*5%+L18</f>
        <v>16.741807582500002</v>
      </c>
      <c r="N18" s="685">
        <f t="shared" si="3"/>
        <v>17.629123384372502</v>
      </c>
      <c r="O18" s="685">
        <f t="shared" si="4"/>
        <v>18.492950430206754</v>
      </c>
      <c r="P18" s="919">
        <f t="shared" si="5"/>
        <v>19.306640249135853</v>
      </c>
      <c r="Q18" s="898">
        <f t="shared" si="6"/>
        <v>19.177189596124403</v>
      </c>
      <c r="R18" s="668">
        <f t="shared" si="7"/>
        <v>19.810036852796507</v>
      </c>
      <c r="S18" s="668">
        <f t="shared" si="8"/>
        <v>20.443958032085995</v>
      </c>
    </row>
    <row r="19" spans="1:19" ht="15" thickBot="1">
      <c r="A19" s="192"/>
      <c r="B19" s="195"/>
      <c r="C19" s="200" t="s">
        <v>213</v>
      </c>
      <c r="D19" s="198"/>
      <c r="E19" s="323">
        <v>5.7095193783517377</v>
      </c>
      <c r="F19" s="323">
        <v>8.0190000000000001</v>
      </c>
      <c r="G19" s="654">
        <f t="shared" si="12"/>
        <v>10.66527</v>
      </c>
      <c r="H19" s="685">
        <f t="shared" si="13"/>
        <v>13.864851</v>
      </c>
      <c r="I19" s="685">
        <f t="shared" si="14"/>
        <v>17.331063749999998</v>
      </c>
      <c r="J19" s="685">
        <f t="shared" si="15"/>
        <v>15.944578649999999</v>
      </c>
      <c r="K19" s="684">
        <f>I19*5.4%+I19</f>
        <v>18.266941192499999</v>
      </c>
      <c r="L19" s="685">
        <f t="shared" si="1"/>
        <v>17.539036514999999</v>
      </c>
      <c r="M19" s="684">
        <f>L19*5%+L19</f>
        <v>18.415988340749998</v>
      </c>
      <c r="N19" s="685">
        <f t="shared" si="3"/>
        <v>19.392035722809748</v>
      </c>
      <c r="O19" s="685">
        <f t="shared" si="4"/>
        <v>20.342245473227425</v>
      </c>
      <c r="P19" s="919">
        <f t="shared" si="5"/>
        <v>21.237304274049432</v>
      </c>
      <c r="Q19" s="898">
        <f t="shared" si="6"/>
        <v>21.09490855573684</v>
      </c>
      <c r="R19" s="668">
        <f t="shared" si="7"/>
        <v>21.791040538076157</v>
      </c>
      <c r="S19" s="668">
        <f t="shared" si="8"/>
        <v>22.488353835294593</v>
      </c>
    </row>
    <row r="20" spans="1:19" ht="15" thickBot="1">
      <c r="A20" s="192"/>
      <c r="B20" s="195"/>
      <c r="C20" s="200" t="s">
        <v>214</v>
      </c>
      <c r="D20" s="198"/>
      <c r="E20" s="323">
        <v>6.0806381379446011</v>
      </c>
      <c r="F20" s="323">
        <v>8.8209</v>
      </c>
      <c r="G20" s="654">
        <f t="shared" si="12"/>
        <v>11.731797</v>
      </c>
      <c r="H20" s="685">
        <f t="shared" si="13"/>
        <v>15.2513361</v>
      </c>
      <c r="I20" s="685">
        <f t="shared" si="14"/>
        <v>19.064170125</v>
      </c>
      <c r="J20" s="685">
        <f t="shared" si="15"/>
        <v>17.539036514999999</v>
      </c>
      <c r="K20" s="684">
        <f>I20*5.4%+I20</f>
        <v>20.093635311749999</v>
      </c>
      <c r="L20" s="685">
        <f t="shared" si="1"/>
        <v>19.292940166499999</v>
      </c>
      <c r="M20" s="684">
        <f>L20*5%+L20</f>
        <v>20.257587174824998</v>
      </c>
      <c r="N20" s="685">
        <f t="shared" si="3"/>
        <v>21.331239295090722</v>
      </c>
      <c r="O20" s="685">
        <f t="shared" si="4"/>
        <v>22.376470020550165</v>
      </c>
      <c r="P20" s="919">
        <f t="shared" si="5"/>
        <v>23.361034701454372</v>
      </c>
      <c r="Q20" s="898">
        <f t="shared" si="6"/>
        <v>23.204399411310522</v>
      </c>
      <c r="R20" s="668">
        <f t="shared" si="7"/>
        <v>23.97014459188377</v>
      </c>
      <c r="S20" s="668">
        <f t="shared" si="8"/>
        <v>24.737189218824049</v>
      </c>
    </row>
    <row r="21" spans="1:19" ht="16" thickBot="1">
      <c r="A21" s="192"/>
      <c r="B21" s="195"/>
      <c r="C21" s="201" t="s">
        <v>215</v>
      </c>
      <c r="D21" s="198"/>
      <c r="E21" s="401"/>
      <c r="F21" s="401"/>
      <c r="G21" s="655"/>
      <c r="H21" s="686"/>
      <c r="I21" s="686"/>
      <c r="J21" s="685">
        <f t="shared" si="15"/>
        <v>0</v>
      </c>
      <c r="K21" s="684"/>
      <c r="L21" s="685">
        <f t="shared" si="1"/>
        <v>0</v>
      </c>
      <c r="M21" s="684"/>
      <c r="N21" s="685">
        <f t="shared" si="3"/>
        <v>0</v>
      </c>
      <c r="O21" s="685">
        <f t="shared" si="4"/>
        <v>0</v>
      </c>
      <c r="P21" s="919">
        <f t="shared" si="5"/>
        <v>0</v>
      </c>
      <c r="Q21" s="898">
        <f t="shared" si="6"/>
        <v>0</v>
      </c>
      <c r="R21" s="668">
        <f t="shared" si="7"/>
        <v>0</v>
      </c>
      <c r="S21" s="668">
        <f t="shared" si="8"/>
        <v>0</v>
      </c>
    </row>
    <row r="22" spans="1:19" ht="15" thickBot="1">
      <c r="A22" s="192"/>
      <c r="B22" s="195"/>
      <c r="C22" s="202" t="s">
        <v>216</v>
      </c>
      <c r="D22" s="198"/>
      <c r="E22" s="323">
        <v>76.598320000000001</v>
      </c>
      <c r="F22" s="323">
        <f>E22*106.9/100</f>
        <v>81.883604079999998</v>
      </c>
      <c r="G22" s="656">
        <f>F22*133/100</f>
        <v>108.9051934264</v>
      </c>
      <c r="H22" s="687">
        <f>G22*130/100</f>
        <v>141.57675145432</v>
      </c>
      <c r="I22" s="687">
        <f>H22*125/100</f>
        <v>176.97093931790002</v>
      </c>
      <c r="J22" s="685">
        <f t="shared" si="15"/>
        <v>162.81326417246802</v>
      </c>
      <c r="K22" s="684">
        <f>I22*5.4%+I22</f>
        <v>186.52737004106663</v>
      </c>
      <c r="L22" s="685">
        <f t="shared" si="1"/>
        <v>179.09459058971481</v>
      </c>
      <c r="M22" s="684">
        <f>L22*5%+L22</f>
        <v>188.04932011920056</v>
      </c>
      <c r="N22" s="685">
        <f t="shared" si="3"/>
        <v>198.01593408551818</v>
      </c>
      <c r="O22" s="685">
        <f t="shared" si="4"/>
        <v>207.71871485570858</v>
      </c>
      <c r="P22" s="919">
        <f t="shared" si="5"/>
        <v>216.85833830935977</v>
      </c>
      <c r="Q22" s="898">
        <f t="shared" si="6"/>
        <v>215.4043073053698</v>
      </c>
      <c r="R22" s="668">
        <f t="shared" si="7"/>
        <v>222.512649446447</v>
      </c>
      <c r="S22" s="668">
        <f t="shared" si="8"/>
        <v>229.6330542287333</v>
      </c>
    </row>
    <row r="23" spans="1:19" ht="16" thickBot="1">
      <c r="A23" s="192"/>
      <c r="B23" s="195"/>
      <c r="C23" s="201" t="s">
        <v>217</v>
      </c>
      <c r="D23" s="198"/>
      <c r="E23" s="401"/>
      <c r="F23" s="401"/>
      <c r="G23" s="655"/>
      <c r="H23" s="686"/>
      <c r="I23" s="705"/>
      <c r="J23" s="685">
        <f t="shared" si="15"/>
        <v>0</v>
      </c>
      <c r="K23" s="684"/>
      <c r="L23" s="685">
        <f t="shared" si="1"/>
        <v>0</v>
      </c>
      <c r="M23" s="684"/>
      <c r="N23" s="685">
        <f t="shared" si="3"/>
        <v>0</v>
      </c>
      <c r="O23" s="685">
        <f t="shared" si="4"/>
        <v>0</v>
      </c>
      <c r="P23" s="919">
        <f t="shared" si="5"/>
        <v>0</v>
      </c>
      <c r="Q23" s="898">
        <f t="shared" si="6"/>
        <v>0</v>
      </c>
      <c r="R23" s="668">
        <f t="shared" si="7"/>
        <v>0</v>
      </c>
      <c r="S23" s="668">
        <f t="shared" si="8"/>
        <v>0</v>
      </c>
    </row>
    <row r="24" spans="1:19" ht="15" thickBot="1">
      <c r="A24" s="192"/>
      <c r="B24" s="195"/>
      <c r="C24" s="195" t="s">
        <v>209</v>
      </c>
      <c r="D24" s="198"/>
      <c r="E24" s="400">
        <v>6.8748799999999992</v>
      </c>
      <c r="F24" s="323">
        <f>E24*106.9/100</f>
        <v>7.34924672</v>
      </c>
      <c r="G24" s="656">
        <f>F24*133/100</f>
        <v>9.7744981376000002</v>
      </c>
      <c r="H24" s="687">
        <f>G24*130/100</f>
        <v>12.70684757888</v>
      </c>
      <c r="I24" s="687">
        <f>H24*125/100</f>
        <v>15.8835594736</v>
      </c>
      <c r="J24" s="685">
        <f t="shared" si="15"/>
        <v>14.612874715712</v>
      </c>
      <c r="K24" s="684">
        <f>I24*5.4%+I24</f>
        <v>16.7412716851744</v>
      </c>
      <c r="L24" s="685">
        <f t="shared" si="1"/>
        <v>16.0741621872832</v>
      </c>
      <c r="M24" s="684">
        <f>L24*5%+L24</f>
        <v>16.877870296647359</v>
      </c>
      <c r="N24" s="685">
        <f t="shared" si="3"/>
        <v>17.772397422369668</v>
      </c>
      <c r="O24" s="685">
        <f t="shared" si="4"/>
        <v>18.643244896065781</v>
      </c>
      <c r="P24" s="919">
        <f t="shared" si="5"/>
        <v>19.463547671492677</v>
      </c>
      <c r="Q24" s="898">
        <f t="shared" si="6"/>
        <v>19.333044957220213</v>
      </c>
      <c r="R24" s="668">
        <f t="shared" si="7"/>
        <v>19.971035440808482</v>
      </c>
      <c r="S24" s="668">
        <f t="shared" si="8"/>
        <v>20.610108574914353</v>
      </c>
    </row>
    <row r="25" spans="1:19" ht="16" thickBot="1">
      <c r="A25" s="192"/>
      <c r="B25" s="195"/>
      <c r="C25" s="200"/>
      <c r="D25" s="198"/>
      <c r="E25" s="401"/>
      <c r="F25" s="401"/>
      <c r="G25" s="655"/>
      <c r="H25" s="687"/>
      <c r="I25" s="687"/>
      <c r="J25" s="685">
        <f t="shared" si="15"/>
        <v>0</v>
      </c>
      <c r="K25" s="684"/>
      <c r="L25" s="685">
        <f t="shared" si="1"/>
        <v>0</v>
      </c>
      <c r="M25" s="684"/>
      <c r="N25" s="685">
        <f t="shared" si="3"/>
        <v>0</v>
      </c>
      <c r="O25" s="685">
        <f t="shared" si="4"/>
        <v>0</v>
      </c>
      <c r="P25" s="919">
        <f t="shared" si="5"/>
        <v>0</v>
      </c>
      <c r="Q25" s="898">
        <f t="shared" si="6"/>
        <v>0</v>
      </c>
      <c r="R25" s="668">
        <f t="shared" si="7"/>
        <v>0</v>
      </c>
      <c r="S25" s="668">
        <f t="shared" si="8"/>
        <v>0</v>
      </c>
    </row>
    <row r="26" spans="1:19" ht="16" thickBot="1">
      <c r="A26" s="192"/>
      <c r="B26" s="195"/>
      <c r="C26" s="201" t="s">
        <v>218</v>
      </c>
      <c r="D26" s="198"/>
      <c r="E26" s="401"/>
      <c r="F26" s="401"/>
      <c r="G26" s="655"/>
      <c r="H26" s="687"/>
      <c r="I26" s="687"/>
      <c r="J26" s="685">
        <f t="shared" si="15"/>
        <v>0</v>
      </c>
      <c r="K26" s="684"/>
      <c r="L26" s="685">
        <f t="shared" si="1"/>
        <v>0</v>
      </c>
      <c r="M26" s="684"/>
      <c r="N26" s="685">
        <f t="shared" si="3"/>
        <v>0</v>
      </c>
      <c r="O26" s="685">
        <f t="shared" si="4"/>
        <v>0</v>
      </c>
      <c r="P26" s="919">
        <f t="shared" si="5"/>
        <v>0</v>
      </c>
      <c r="Q26" s="898">
        <f t="shared" si="6"/>
        <v>0</v>
      </c>
      <c r="R26" s="668">
        <f t="shared" si="7"/>
        <v>0</v>
      </c>
      <c r="S26" s="668">
        <f t="shared" si="8"/>
        <v>0</v>
      </c>
    </row>
    <row r="27" spans="1:19" ht="15" thickBot="1">
      <c r="A27" s="192"/>
      <c r="B27" s="195"/>
      <c r="C27" s="202" t="s">
        <v>216</v>
      </c>
      <c r="D27" s="198"/>
      <c r="E27" s="400">
        <v>41.899039999999992</v>
      </c>
      <c r="F27" s="323">
        <f>E27*106.9/100</f>
        <v>44.790073759999999</v>
      </c>
      <c r="G27" s="656">
        <f>G31</f>
        <v>10.3407038224</v>
      </c>
      <c r="H27" s="687">
        <f t="shared" ref="H27:H31" si="16">G27*130/100</f>
        <v>13.44291496912</v>
      </c>
      <c r="I27" s="687">
        <f t="shared" ref="I27:I31" si="17">H27*125/100</f>
        <v>16.803643711399999</v>
      </c>
      <c r="J27" s="685">
        <f t="shared" si="15"/>
        <v>15.459352214488</v>
      </c>
      <c r="K27" s="684">
        <f>I27*5.4%+I27</f>
        <v>17.7110404718156</v>
      </c>
      <c r="L27" s="685">
        <f t="shared" si="1"/>
        <v>17.0052874359368</v>
      </c>
      <c r="M27" s="684">
        <f>L27*5%+L27</f>
        <v>17.85555180773364</v>
      </c>
      <c r="N27" s="685">
        <f t="shared" si="3"/>
        <v>18.801896053543523</v>
      </c>
      <c r="O27" s="685">
        <f t="shared" si="4"/>
        <v>19.723188960167157</v>
      </c>
      <c r="P27" s="919">
        <f t="shared" si="5"/>
        <v>20.59100927441451</v>
      </c>
      <c r="Q27" s="898">
        <f t="shared" si="6"/>
        <v>20.452946951693342</v>
      </c>
      <c r="R27" s="668">
        <f t="shared" si="7"/>
        <v>21.127894201099224</v>
      </c>
      <c r="S27" s="668">
        <f t="shared" si="8"/>
        <v>21.803986815534397</v>
      </c>
    </row>
    <row r="28" spans="1:19" ht="16" thickBot="1">
      <c r="A28" s="192"/>
      <c r="B28" s="195"/>
      <c r="C28" s="201" t="s">
        <v>219</v>
      </c>
      <c r="D28" s="198"/>
      <c r="E28" s="395"/>
      <c r="F28" s="395"/>
      <c r="G28" s="656"/>
      <c r="H28" s="687"/>
      <c r="I28" s="687"/>
      <c r="J28" s="685">
        <f t="shared" si="15"/>
        <v>0</v>
      </c>
      <c r="K28" s="684"/>
      <c r="L28" s="685">
        <f t="shared" si="1"/>
        <v>0</v>
      </c>
      <c r="M28" s="684"/>
      <c r="N28" s="685">
        <f t="shared" si="3"/>
        <v>0</v>
      </c>
      <c r="O28" s="685">
        <f t="shared" si="4"/>
        <v>0</v>
      </c>
      <c r="P28" s="919">
        <f t="shared" si="5"/>
        <v>0</v>
      </c>
      <c r="Q28" s="898">
        <f t="shared" si="6"/>
        <v>0</v>
      </c>
      <c r="R28" s="668">
        <f t="shared" si="7"/>
        <v>0</v>
      </c>
      <c r="S28" s="668">
        <f t="shared" si="8"/>
        <v>0</v>
      </c>
    </row>
    <row r="29" spans="1:19" ht="15" thickBot="1">
      <c r="A29" s="192"/>
      <c r="B29" s="195"/>
      <c r="C29" s="200" t="s">
        <v>220</v>
      </c>
      <c r="D29" s="198"/>
      <c r="E29" s="397">
        <v>0</v>
      </c>
      <c r="F29" s="397">
        <v>6.25</v>
      </c>
      <c r="G29" s="656">
        <f>F29*133/100</f>
        <v>8.3125</v>
      </c>
      <c r="H29" s="687">
        <f t="shared" si="16"/>
        <v>10.80625</v>
      </c>
      <c r="I29" s="687">
        <f t="shared" si="17"/>
        <v>13.5078125</v>
      </c>
      <c r="J29" s="685">
        <f t="shared" si="15"/>
        <v>12.4271875</v>
      </c>
      <c r="K29" s="684">
        <f>I29*5.4%+I29</f>
        <v>14.237234375</v>
      </c>
      <c r="L29" s="685">
        <f t="shared" si="1"/>
        <v>13.66990625</v>
      </c>
      <c r="M29" s="684">
        <f>L29*5%+L29</f>
        <v>14.3534015625</v>
      </c>
      <c r="N29" s="685">
        <f t="shared" si="3"/>
        <v>15.1141318453125</v>
      </c>
      <c r="O29" s="685">
        <f t="shared" si="4"/>
        <v>15.854724305732812</v>
      </c>
      <c r="P29" s="919">
        <f t="shared" si="5"/>
        <v>16.552332175185057</v>
      </c>
      <c r="Q29" s="898">
        <f t="shared" si="6"/>
        <v>16.441349105044928</v>
      </c>
      <c r="R29" s="668">
        <f t="shared" si="7"/>
        <v>16.983913625511409</v>
      </c>
      <c r="S29" s="668">
        <f t="shared" si="8"/>
        <v>17.527398861527775</v>
      </c>
    </row>
    <row r="30" spans="1:19" ht="15" thickBot="1">
      <c r="A30" s="192"/>
      <c r="B30" s="195"/>
      <c r="C30" s="200" t="s">
        <v>244</v>
      </c>
      <c r="D30" s="198"/>
      <c r="E30" s="400">
        <v>6.832959999999999</v>
      </c>
      <c r="F30" s="323">
        <f t="shared" ref="F30:F31" si="18">E30*106.9/100</f>
        <v>7.3044342399999991</v>
      </c>
      <c r="G30" s="656">
        <f t="shared" ref="G30:G31" si="19">F30*133/100</f>
        <v>9.714897539199999</v>
      </c>
      <c r="H30" s="687">
        <f t="shared" si="16"/>
        <v>12.62936680096</v>
      </c>
      <c r="I30" s="687">
        <f t="shared" si="17"/>
        <v>15.786708501200001</v>
      </c>
      <c r="J30" s="685">
        <f t="shared" si="15"/>
        <v>14.523771821104001</v>
      </c>
      <c r="K30" s="684">
        <f>I30*5.4%+I30</f>
        <v>16.639190760264803</v>
      </c>
      <c r="L30" s="685">
        <f t="shared" si="1"/>
        <v>15.976149003214401</v>
      </c>
      <c r="M30" s="684">
        <f>L30*5%+L30</f>
        <v>16.774956453375122</v>
      </c>
      <c r="N30" s="685">
        <f t="shared" si="3"/>
        <v>17.664029145404005</v>
      </c>
      <c r="O30" s="685">
        <f t="shared" si="4"/>
        <v>18.5295665735288</v>
      </c>
      <c r="P30" s="919">
        <f t="shared" si="5"/>
        <v>19.344867502764068</v>
      </c>
      <c r="Q30" s="898">
        <f t="shared" si="6"/>
        <v>19.215160536749366</v>
      </c>
      <c r="R30" s="668">
        <f t="shared" si="7"/>
        <v>19.849260834462093</v>
      </c>
      <c r="S30" s="668">
        <f t="shared" si="8"/>
        <v>20.484437181164882</v>
      </c>
    </row>
    <row r="31" spans="1:19" ht="15" thickBot="1">
      <c r="A31" s="192"/>
      <c r="B31" s="195"/>
      <c r="C31" s="200" t="s">
        <v>214</v>
      </c>
      <c r="D31" s="198"/>
      <c r="E31" s="400">
        <v>7.2731200000000005</v>
      </c>
      <c r="F31" s="323">
        <f t="shared" si="18"/>
        <v>7.7749652800000009</v>
      </c>
      <c r="G31" s="656">
        <f t="shared" si="19"/>
        <v>10.3407038224</v>
      </c>
      <c r="H31" s="687">
        <f t="shared" si="16"/>
        <v>13.44291496912</v>
      </c>
      <c r="I31" s="687">
        <f t="shared" si="17"/>
        <v>16.803643711399999</v>
      </c>
      <c r="J31" s="685">
        <f t="shared" si="15"/>
        <v>15.459352214488</v>
      </c>
      <c r="K31" s="684">
        <f>I31*5.4%+I31</f>
        <v>17.7110404718156</v>
      </c>
      <c r="L31" s="685">
        <f t="shared" si="1"/>
        <v>17.0052874359368</v>
      </c>
      <c r="M31" s="684">
        <f>L31*5%+L31</f>
        <v>17.85555180773364</v>
      </c>
      <c r="N31" s="685">
        <f t="shared" si="3"/>
        <v>18.801896053543523</v>
      </c>
      <c r="O31" s="685">
        <f t="shared" si="4"/>
        <v>19.723188960167157</v>
      </c>
      <c r="P31" s="919">
        <f t="shared" si="5"/>
        <v>20.59100927441451</v>
      </c>
      <c r="Q31" s="898">
        <f t="shared" si="6"/>
        <v>20.452946951693342</v>
      </c>
      <c r="R31" s="668">
        <f t="shared" si="7"/>
        <v>21.127894201099224</v>
      </c>
      <c r="S31" s="668">
        <f t="shared" si="8"/>
        <v>21.803986815534397</v>
      </c>
    </row>
    <row r="32" spans="1:19" ht="16" thickBot="1">
      <c r="A32" s="192"/>
      <c r="B32" s="193" t="s">
        <v>221</v>
      </c>
      <c r="C32" s="194" t="s">
        <v>314</v>
      </c>
      <c r="D32" s="198"/>
      <c r="E32" s="401"/>
      <c r="F32" s="401"/>
      <c r="G32" s="655"/>
      <c r="H32" s="686"/>
      <c r="I32" s="686"/>
      <c r="J32" s="685">
        <f t="shared" si="15"/>
        <v>0</v>
      </c>
      <c r="K32" s="684"/>
      <c r="L32" s="685">
        <f t="shared" si="1"/>
        <v>0</v>
      </c>
      <c r="M32" s="684"/>
      <c r="N32" s="685">
        <f t="shared" si="3"/>
        <v>0</v>
      </c>
      <c r="O32" s="685">
        <f t="shared" si="4"/>
        <v>0</v>
      </c>
      <c r="P32" s="919">
        <f t="shared" si="5"/>
        <v>0</v>
      </c>
      <c r="Q32" s="898">
        <f t="shared" si="6"/>
        <v>0</v>
      </c>
      <c r="R32" s="668">
        <f t="shared" si="7"/>
        <v>0</v>
      </c>
      <c r="S32" s="668">
        <f t="shared" si="8"/>
        <v>0</v>
      </c>
    </row>
    <row r="33" spans="1:19" ht="15" thickBot="1">
      <c r="A33" s="192"/>
      <c r="B33" s="193"/>
      <c r="C33" s="195" t="s">
        <v>208</v>
      </c>
      <c r="D33" s="198"/>
      <c r="E33" s="323">
        <v>112.09442389595999</v>
      </c>
      <c r="F33" s="323" t="e">
        <f>#REF!</f>
        <v>#REF!</v>
      </c>
      <c r="G33" s="656">
        <v>119.83</v>
      </c>
      <c r="H33" s="687">
        <f>G33*5.3%+G33</f>
        <v>126.18098999999999</v>
      </c>
      <c r="I33" s="687">
        <f>H33*5.3%+H33</f>
        <v>132.86858247000001</v>
      </c>
      <c r="J33" s="685">
        <f t="shared" si="15"/>
        <v>122.2390958724</v>
      </c>
      <c r="K33" s="684">
        <f>I33*5.4%+I33</f>
        <v>140.04348592338002</v>
      </c>
      <c r="L33" s="685">
        <f t="shared" si="1"/>
        <v>134.46300545963999</v>
      </c>
      <c r="M33" s="684">
        <f>L33*5%+L33</f>
        <v>141.18615573262198</v>
      </c>
      <c r="N33" s="685">
        <f t="shared" si="3"/>
        <v>148.66902198645096</v>
      </c>
      <c r="O33" s="685">
        <f t="shared" si="4"/>
        <v>155.95380406378706</v>
      </c>
      <c r="P33" s="919">
        <f t="shared" si="5"/>
        <v>162.8157714425937</v>
      </c>
      <c r="Q33" s="898">
        <f t="shared" si="6"/>
        <v>161.72409481414718</v>
      </c>
      <c r="R33" s="668">
        <f t="shared" si="7"/>
        <v>167.06098994301402</v>
      </c>
      <c r="S33" s="668">
        <f t="shared" si="8"/>
        <v>172.40694162119047</v>
      </c>
    </row>
    <row r="34" spans="1:19" ht="15" thickBot="1">
      <c r="A34" s="192"/>
      <c r="B34" s="193"/>
      <c r="C34" s="195" t="s">
        <v>315</v>
      </c>
      <c r="D34" s="198"/>
      <c r="E34" s="323"/>
      <c r="F34" s="323"/>
      <c r="G34" s="656">
        <v>0</v>
      </c>
      <c r="H34" s="687">
        <v>500</v>
      </c>
      <c r="I34" s="687">
        <f>H34*5.3%+H34</f>
        <v>526.5</v>
      </c>
      <c r="J34" s="685">
        <f t="shared" si="15"/>
        <v>484.38</v>
      </c>
      <c r="K34" s="684">
        <f>I34*5.4%+I34</f>
        <v>554.93100000000004</v>
      </c>
      <c r="L34" s="685">
        <f t="shared" si="1"/>
        <v>532.81799999999998</v>
      </c>
      <c r="M34" s="684">
        <f>L34*5%+L34</f>
        <v>559.45889999999997</v>
      </c>
      <c r="N34" s="685">
        <f t="shared" si="3"/>
        <v>589.11022170000001</v>
      </c>
      <c r="O34" s="685">
        <f t="shared" si="4"/>
        <v>617.9766225633</v>
      </c>
      <c r="P34" s="919">
        <f t="shared" si="5"/>
        <v>645.16759395608517</v>
      </c>
      <c r="Q34" s="898">
        <f t="shared" si="6"/>
        <v>640.84175759814207</v>
      </c>
      <c r="R34" s="668">
        <f t="shared" si="7"/>
        <v>661.98953559888071</v>
      </c>
      <c r="S34" s="668">
        <f t="shared" si="8"/>
        <v>683.1732007380449</v>
      </c>
    </row>
    <row r="35" spans="1:19" ht="15" thickBot="1">
      <c r="A35" s="192"/>
      <c r="B35" s="193"/>
      <c r="C35" s="195" t="s">
        <v>316</v>
      </c>
      <c r="D35" s="198"/>
      <c r="E35" s="323"/>
      <c r="F35" s="323"/>
      <c r="G35" s="656">
        <v>0</v>
      </c>
      <c r="H35" s="687">
        <v>800</v>
      </c>
      <c r="I35" s="687">
        <f>H35*5.3%+H35</f>
        <v>842.4</v>
      </c>
      <c r="J35" s="685">
        <f t="shared" si="15"/>
        <v>775.00800000000004</v>
      </c>
      <c r="K35" s="684">
        <f>I35*5.4%+I35</f>
        <v>887.88959999999997</v>
      </c>
      <c r="L35" s="685">
        <f t="shared" si="1"/>
        <v>852.50880000000006</v>
      </c>
      <c r="M35" s="684">
        <f>L35*5%+L35</f>
        <v>895.13424000000009</v>
      </c>
      <c r="N35" s="685">
        <f t="shared" si="3"/>
        <v>942.57635472000015</v>
      </c>
      <c r="O35" s="685">
        <f t="shared" si="4"/>
        <v>988.76259610128022</v>
      </c>
      <c r="P35" s="919">
        <f t="shared" si="5"/>
        <v>1032.2681503297365</v>
      </c>
      <c r="Q35" s="898">
        <f t="shared" si="6"/>
        <v>1025.3468121570277</v>
      </c>
      <c r="R35" s="668">
        <f t="shared" si="7"/>
        <v>1059.1832569582095</v>
      </c>
      <c r="S35" s="668">
        <f t="shared" si="8"/>
        <v>1093.0771211808722</v>
      </c>
    </row>
    <row r="36" spans="1:19" ht="15" thickBot="1">
      <c r="A36" s="192"/>
      <c r="B36" s="193"/>
      <c r="C36" s="195"/>
      <c r="D36" s="198"/>
      <c r="E36" s="323"/>
      <c r="F36" s="323"/>
      <c r="G36" s="656"/>
      <c r="H36" s="687"/>
      <c r="I36" s="687"/>
      <c r="J36" s="685">
        <f t="shared" si="15"/>
        <v>0</v>
      </c>
      <c r="K36" s="684"/>
      <c r="L36" s="685">
        <f t="shared" si="1"/>
        <v>0</v>
      </c>
      <c r="M36" s="684"/>
      <c r="N36" s="685">
        <f t="shared" si="3"/>
        <v>0</v>
      </c>
      <c r="O36" s="685">
        <f t="shared" si="4"/>
        <v>0</v>
      </c>
      <c r="P36" s="919">
        <f t="shared" si="5"/>
        <v>0</v>
      </c>
      <c r="Q36" s="898">
        <f t="shared" si="6"/>
        <v>0</v>
      </c>
      <c r="R36" s="668">
        <f t="shared" si="7"/>
        <v>0</v>
      </c>
      <c r="S36" s="668">
        <f t="shared" si="8"/>
        <v>0</v>
      </c>
    </row>
    <row r="37" spans="1:19" ht="16" thickBot="1">
      <c r="A37" s="192"/>
      <c r="B37" s="193"/>
      <c r="C37" s="195" t="s">
        <v>317</v>
      </c>
      <c r="D37" s="195"/>
      <c r="E37" s="401"/>
      <c r="F37" s="401"/>
      <c r="G37" s="655"/>
      <c r="H37" s="686"/>
      <c r="I37" s="686"/>
      <c r="J37" s="685">
        <f t="shared" si="15"/>
        <v>0</v>
      </c>
      <c r="K37" s="684"/>
      <c r="L37" s="685">
        <f t="shared" si="1"/>
        <v>0</v>
      </c>
      <c r="M37" s="684"/>
      <c r="N37" s="685">
        <v>0</v>
      </c>
      <c r="O37" s="685">
        <f t="shared" si="4"/>
        <v>0</v>
      </c>
      <c r="P37" s="919">
        <f t="shared" si="5"/>
        <v>0</v>
      </c>
      <c r="Q37" s="898">
        <f t="shared" si="6"/>
        <v>0</v>
      </c>
      <c r="R37" s="668">
        <f t="shared" si="7"/>
        <v>0</v>
      </c>
      <c r="S37" s="668">
        <f t="shared" si="8"/>
        <v>0</v>
      </c>
    </row>
    <row r="38" spans="1:19" ht="15" thickBot="1">
      <c r="A38" s="192"/>
      <c r="B38" s="218" t="s">
        <v>22</v>
      </c>
      <c r="C38" s="200" t="s">
        <v>220</v>
      </c>
      <c r="D38" s="198"/>
      <c r="E38" s="323">
        <v>6.1488747302399993</v>
      </c>
      <c r="F38" s="323">
        <v>8.99</v>
      </c>
      <c r="G38" s="656">
        <f>F38*133/100</f>
        <v>11.956700000000001</v>
      </c>
      <c r="H38" s="687">
        <f>G38*130/100</f>
        <v>15.543710000000001</v>
      </c>
      <c r="I38" s="687">
        <f>H38*125/100</f>
        <v>19.429637500000002</v>
      </c>
      <c r="J38" s="685">
        <f t="shared" si="15"/>
        <v>17.875266500000002</v>
      </c>
      <c r="K38" s="684">
        <f>I38*5.4%+I38</f>
        <v>20.478837925000001</v>
      </c>
      <c r="L38" s="685">
        <f t="shared" si="1"/>
        <v>19.662793150000002</v>
      </c>
      <c r="M38" s="684">
        <f>L38*5%+L38</f>
        <v>20.645932807500003</v>
      </c>
      <c r="N38" s="685">
        <f t="shared" ref="N38:N45" si="20">M38*5.3%+M38</f>
        <v>21.740167246297503</v>
      </c>
      <c r="O38" s="685">
        <f t="shared" si="4"/>
        <v>22.805435441366079</v>
      </c>
      <c r="P38" s="919">
        <f t="shared" si="5"/>
        <v>23.808874600786186</v>
      </c>
      <c r="Q38" s="898">
        <f t="shared" si="6"/>
        <v>23.649236552696625</v>
      </c>
      <c r="R38" s="668">
        <f t="shared" si="7"/>
        <v>24.429661358935615</v>
      </c>
      <c r="S38" s="668">
        <f t="shared" si="8"/>
        <v>25.211410522421556</v>
      </c>
    </row>
    <row r="39" spans="1:19" ht="15" thickBot="1">
      <c r="A39" s="192"/>
      <c r="B39" s="218" t="s">
        <v>16</v>
      </c>
      <c r="C39" s="200" t="s">
        <v>223</v>
      </c>
      <c r="D39" s="198"/>
      <c r="E39" s="323">
        <v>6.5485515877055995</v>
      </c>
      <c r="F39" s="323">
        <v>8.99</v>
      </c>
      <c r="G39" s="656">
        <f t="shared" ref="G39:G41" si="21">F39*133/100</f>
        <v>11.956700000000001</v>
      </c>
      <c r="H39" s="687">
        <f t="shared" ref="H39:H41" si="22">G39*130/100</f>
        <v>15.543710000000001</v>
      </c>
      <c r="I39" s="687">
        <f t="shared" ref="I39:I41" si="23">H39*125/100</f>
        <v>19.429637500000002</v>
      </c>
      <c r="J39" s="685">
        <f t="shared" si="15"/>
        <v>17.875266500000002</v>
      </c>
      <c r="K39" s="684">
        <f>I39*5.4%+I39</f>
        <v>20.478837925000001</v>
      </c>
      <c r="L39" s="685">
        <f t="shared" si="1"/>
        <v>19.662793150000002</v>
      </c>
      <c r="M39" s="684">
        <f>L39*5%+L39</f>
        <v>20.645932807500003</v>
      </c>
      <c r="N39" s="685">
        <f t="shared" si="20"/>
        <v>21.740167246297503</v>
      </c>
      <c r="O39" s="685">
        <f t="shared" si="4"/>
        <v>22.805435441366079</v>
      </c>
      <c r="P39" s="919">
        <f t="shared" si="5"/>
        <v>23.808874600786186</v>
      </c>
      <c r="Q39" s="898">
        <f t="shared" si="6"/>
        <v>23.649236552696625</v>
      </c>
      <c r="R39" s="668">
        <f t="shared" si="7"/>
        <v>24.429661358935615</v>
      </c>
      <c r="S39" s="668">
        <f t="shared" si="8"/>
        <v>25.211410522421556</v>
      </c>
    </row>
    <row r="40" spans="1:19" ht="15" thickBot="1">
      <c r="A40" s="192"/>
      <c r="B40" s="218" t="s">
        <v>318</v>
      </c>
      <c r="C40" s="200" t="s">
        <v>214</v>
      </c>
      <c r="D40" s="198"/>
      <c r="E40" s="323">
        <v>6.9742074409064632</v>
      </c>
      <c r="F40" s="323">
        <v>8.99</v>
      </c>
      <c r="G40" s="656">
        <f t="shared" si="21"/>
        <v>11.956700000000001</v>
      </c>
      <c r="H40" s="687">
        <f t="shared" si="22"/>
        <v>15.543710000000001</v>
      </c>
      <c r="I40" s="687">
        <f t="shared" si="23"/>
        <v>19.429637500000002</v>
      </c>
      <c r="J40" s="685">
        <f t="shared" si="15"/>
        <v>17.875266500000002</v>
      </c>
      <c r="K40" s="684">
        <f>I40*5.4%+I40</f>
        <v>20.478837925000001</v>
      </c>
      <c r="L40" s="685">
        <f t="shared" si="1"/>
        <v>19.662793150000002</v>
      </c>
      <c r="M40" s="684">
        <f>L40*5%+L40</f>
        <v>20.645932807500003</v>
      </c>
      <c r="N40" s="685">
        <f t="shared" si="20"/>
        <v>21.740167246297503</v>
      </c>
      <c r="O40" s="685">
        <f t="shared" si="4"/>
        <v>22.805435441366079</v>
      </c>
      <c r="P40" s="919">
        <f t="shared" si="5"/>
        <v>23.808874600786186</v>
      </c>
      <c r="Q40" s="898">
        <f t="shared" si="6"/>
        <v>23.649236552696625</v>
      </c>
      <c r="R40" s="668">
        <f t="shared" si="7"/>
        <v>24.429661358935615</v>
      </c>
      <c r="S40" s="668">
        <f t="shared" si="8"/>
        <v>25.211410522421556</v>
      </c>
    </row>
    <row r="41" spans="1:19" ht="16" thickBot="1">
      <c r="A41" s="192"/>
      <c r="B41" s="195"/>
      <c r="C41" s="202" t="s">
        <v>224</v>
      </c>
      <c r="D41" s="203"/>
      <c r="E41" s="400">
        <v>6.1517600000000003</v>
      </c>
      <c r="F41" s="323">
        <v>8.99</v>
      </c>
      <c r="G41" s="656">
        <f t="shared" si="21"/>
        <v>11.956700000000001</v>
      </c>
      <c r="H41" s="687">
        <f t="shared" si="22"/>
        <v>15.543710000000001</v>
      </c>
      <c r="I41" s="687">
        <f t="shared" si="23"/>
        <v>19.429637500000002</v>
      </c>
      <c r="J41" s="685">
        <f t="shared" si="15"/>
        <v>17.875266500000002</v>
      </c>
      <c r="K41" s="684">
        <f>I41*5.4%+I41</f>
        <v>20.478837925000001</v>
      </c>
      <c r="L41" s="685">
        <f t="shared" si="1"/>
        <v>19.662793150000002</v>
      </c>
      <c r="M41" s="684">
        <f>L41*5%+L41</f>
        <v>20.645932807500003</v>
      </c>
      <c r="N41" s="685">
        <f t="shared" si="20"/>
        <v>21.740167246297503</v>
      </c>
      <c r="O41" s="685">
        <f t="shared" si="4"/>
        <v>22.805435441366079</v>
      </c>
      <c r="P41" s="919">
        <f t="shared" si="5"/>
        <v>23.808874600786186</v>
      </c>
      <c r="Q41" s="898">
        <f t="shared" si="6"/>
        <v>23.649236552696625</v>
      </c>
      <c r="R41" s="668">
        <f t="shared" si="7"/>
        <v>24.429661358935615</v>
      </c>
      <c r="S41" s="668">
        <f t="shared" si="8"/>
        <v>25.211410522421556</v>
      </c>
    </row>
    <row r="42" spans="1:19" ht="16" thickBot="1">
      <c r="A42" s="192"/>
      <c r="B42" s="193"/>
      <c r="C42" s="194" t="s">
        <v>319</v>
      </c>
      <c r="D42" s="198"/>
      <c r="E42" s="401"/>
      <c r="F42" s="401"/>
      <c r="G42" s="655"/>
      <c r="H42" s="686"/>
      <c r="I42" s="686"/>
      <c r="J42" s="685">
        <f t="shared" si="15"/>
        <v>0</v>
      </c>
      <c r="K42" s="684"/>
      <c r="L42" s="685">
        <f t="shared" si="1"/>
        <v>0</v>
      </c>
      <c r="M42" s="684"/>
      <c r="N42" s="685">
        <f t="shared" si="20"/>
        <v>0</v>
      </c>
      <c r="O42" s="685">
        <f t="shared" si="4"/>
        <v>0</v>
      </c>
      <c r="P42" s="919">
        <f t="shared" si="5"/>
        <v>0</v>
      </c>
      <c r="Q42" s="898">
        <f t="shared" si="6"/>
        <v>0</v>
      </c>
      <c r="R42" s="668">
        <f t="shared" si="7"/>
        <v>0</v>
      </c>
      <c r="S42" s="668">
        <f t="shared" si="8"/>
        <v>0</v>
      </c>
    </row>
    <row r="43" spans="1:19" ht="15" thickBot="1">
      <c r="A43" s="192"/>
      <c r="B43" s="193"/>
      <c r="C43" s="195" t="s">
        <v>208</v>
      </c>
      <c r="D43" s="198"/>
      <c r="E43" s="323">
        <v>112.09442389595999</v>
      </c>
      <c r="F43" s="323">
        <f>E43*106.9/100</f>
        <v>119.82893914478123</v>
      </c>
      <c r="G43" s="656">
        <f>F43</f>
        <v>119.82893914478123</v>
      </c>
      <c r="H43" s="687">
        <f>G43*5.3%+G43</f>
        <v>126.17987291945464</v>
      </c>
      <c r="I43" s="687">
        <f>H43*5.3%+H43</f>
        <v>132.86740618418574</v>
      </c>
      <c r="J43" s="685">
        <f t="shared" si="15"/>
        <v>122.23801368945088</v>
      </c>
      <c r="K43" s="687">
        <f>I43*5.4%+I43</f>
        <v>140.04224611813177</v>
      </c>
      <c r="L43" s="685">
        <f t="shared" si="1"/>
        <v>134.46181505839598</v>
      </c>
      <c r="M43" s="687">
        <f>L43*5%+L43</f>
        <v>141.18490581131579</v>
      </c>
      <c r="N43" s="685">
        <f t="shared" si="20"/>
        <v>148.66770581931553</v>
      </c>
      <c r="O43" s="685">
        <f t="shared" si="4"/>
        <v>155.952423404462</v>
      </c>
      <c r="P43" s="919">
        <f t="shared" si="5"/>
        <v>162.81433003425832</v>
      </c>
      <c r="Q43" s="898">
        <f t="shared" si="6"/>
        <v>161.7226630704271</v>
      </c>
      <c r="R43" s="668">
        <f t="shared" si="7"/>
        <v>167.05951095175121</v>
      </c>
      <c r="S43" s="668">
        <f t="shared" si="8"/>
        <v>172.40541530220725</v>
      </c>
    </row>
    <row r="44" spans="1:19" ht="16" thickBot="1">
      <c r="A44" s="192"/>
      <c r="B44" s="195"/>
      <c r="C44" s="202"/>
      <c r="D44" s="203"/>
      <c r="E44" s="400"/>
      <c r="F44" s="323"/>
      <c r="G44" s="656"/>
      <c r="H44" s="687"/>
      <c r="I44" s="687"/>
      <c r="J44" s="685">
        <f t="shared" si="15"/>
        <v>0</v>
      </c>
      <c r="K44" s="684"/>
      <c r="L44" s="685">
        <f t="shared" si="1"/>
        <v>0</v>
      </c>
      <c r="M44" s="684"/>
      <c r="N44" s="685">
        <f t="shared" si="20"/>
        <v>0</v>
      </c>
      <c r="O44" s="685">
        <f t="shared" si="4"/>
        <v>0</v>
      </c>
      <c r="P44" s="919">
        <f t="shared" si="5"/>
        <v>0</v>
      </c>
      <c r="Q44" s="898">
        <f t="shared" si="6"/>
        <v>0</v>
      </c>
      <c r="R44" s="668">
        <f t="shared" si="7"/>
        <v>0</v>
      </c>
      <c r="S44" s="668">
        <f t="shared" si="8"/>
        <v>0</v>
      </c>
    </row>
    <row r="45" spans="1:19" ht="15" thickBot="1">
      <c r="A45" s="192"/>
      <c r="B45" s="193" t="s">
        <v>1253</v>
      </c>
      <c r="C45" s="202" t="s">
        <v>1252</v>
      </c>
      <c r="D45" s="204"/>
      <c r="E45" s="400">
        <v>307.69280000000003</v>
      </c>
      <c r="F45" s="323">
        <f t="shared" ref="F45" si="24">E45*106.9/100</f>
        <v>328.92360320000006</v>
      </c>
      <c r="G45" s="656">
        <f>F45*133/100</f>
        <v>437.46839225600007</v>
      </c>
      <c r="H45" s="687">
        <f>G45*130/100</f>
        <v>568.70890993280011</v>
      </c>
      <c r="I45" s="687">
        <f>H45*125/100</f>
        <v>710.88613741600011</v>
      </c>
      <c r="J45" s="685">
        <f t="shared" si="15"/>
        <v>654.01524642272011</v>
      </c>
      <c r="K45" s="684">
        <f>I45*5.4%+I45</f>
        <v>749.27398883646413</v>
      </c>
      <c r="L45" s="685">
        <f t="shared" si="1"/>
        <v>719.41677106499208</v>
      </c>
      <c r="M45" s="684">
        <f>L45*5%+L45</f>
        <v>755.38760961824164</v>
      </c>
      <c r="N45" s="685">
        <f t="shared" si="20"/>
        <v>795.42315292800845</v>
      </c>
      <c r="O45" s="685">
        <f t="shared" si="4"/>
        <v>834.39888742148082</v>
      </c>
      <c r="P45" s="919">
        <f t="shared" si="5"/>
        <v>871.11243846802597</v>
      </c>
      <c r="Q45" s="898">
        <f t="shared" si="6"/>
        <v>865.27164625607566</v>
      </c>
      <c r="R45" s="668">
        <f t="shared" si="7"/>
        <v>893.82561058252611</v>
      </c>
      <c r="S45" s="668">
        <f t="shared" si="8"/>
        <v>922.4280301211669</v>
      </c>
    </row>
    <row r="46" spans="1:19" ht="15" thickBot="1">
      <c r="A46" s="62"/>
      <c r="B46" s="707" t="s">
        <v>29</v>
      </c>
      <c r="C46" s="706"/>
      <c r="D46" s="706"/>
      <c r="E46" s="708"/>
      <c r="F46" s="708"/>
      <c r="G46" s="744"/>
      <c r="H46" s="705"/>
      <c r="I46" s="705"/>
      <c r="J46" s="705"/>
      <c r="K46" s="684"/>
      <c r="L46" s="685">
        <f t="shared" si="1"/>
        <v>0</v>
      </c>
      <c r="M46" s="684"/>
      <c r="N46" s="684"/>
      <c r="O46" s="684"/>
      <c r="P46" s="919">
        <f t="shared" si="5"/>
        <v>0</v>
      </c>
      <c r="Q46" s="898">
        <f t="shared" si="6"/>
        <v>0</v>
      </c>
      <c r="R46" s="668">
        <f t="shared" si="7"/>
        <v>0</v>
      </c>
      <c r="S46" s="668">
        <f t="shared" si="8"/>
        <v>0</v>
      </c>
    </row>
    <row r="47" spans="1:19" s="149" customFormat="1" ht="31" thickBot="1">
      <c r="A47" s="153"/>
      <c r="B47" s="9" t="s">
        <v>31</v>
      </c>
      <c r="C47" s="10"/>
      <c r="D47" s="11"/>
      <c r="E47" s="64" t="s">
        <v>9</v>
      </c>
      <c r="F47" s="64" t="s">
        <v>300</v>
      </c>
      <c r="G47" s="692" t="s">
        <v>301</v>
      </c>
      <c r="H47" s="699" t="s">
        <v>302</v>
      </c>
      <c r="I47" s="699" t="s">
        <v>303</v>
      </c>
      <c r="J47" s="700" t="s">
        <v>304</v>
      </c>
      <c r="K47" s="700" t="s">
        <v>304</v>
      </c>
      <c r="L47" s="745" t="s">
        <v>305</v>
      </c>
      <c r="M47" s="701" t="s">
        <v>306</v>
      </c>
      <c r="N47" s="702" t="s">
        <v>307</v>
      </c>
      <c r="O47" s="702" t="s">
        <v>308</v>
      </c>
      <c r="P47" s="920" t="s">
        <v>309</v>
      </c>
      <c r="Q47" s="939" t="s">
        <v>310</v>
      </c>
      <c r="R47" s="871" t="s">
        <v>1248</v>
      </c>
      <c r="S47" s="871" t="s">
        <v>1251</v>
      </c>
    </row>
    <row r="48" spans="1:19" ht="15" thickBot="1">
      <c r="A48" s="192"/>
      <c r="B48" s="695" t="s">
        <v>205</v>
      </c>
      <c r="C48" s="696" t="s">
        <v>230</v>
      </c>
      <c r="D48" s="623"/>
      <c r="E48" s="616">
        <v>49.224560000000004</v>
      </c>
      <c r="F48" s="616">
        <f t="shared" ref="F48:F49" si="25">E48*106.9/100</f>
        <v>52.621054640000011</v>
      </c>
      <c r="G48" s="680">
        <f>F48</f>
        <v>52.621054640000011</v>
      </c>
      <c r="H48" s="697">
        <f>G48*5.3%+G48</f>
        <v>55.40997053592001</v>
      </c>
      <c r="I48" s="697">
        <f t="shared" ref="I48:I49" si="26">H48*5.3%+H48</f>
        <v>58.346698974323772</v>
      </c>
      <c r="J48" s="697">
        <f>I48-I48*0.08</f>
        <v>53.678963056377867</v>
      </c>
      <c r="K48" s="697">
        <f>I48*5.4%+I48</f>
        <v>61.497420718937256</v>
      </c>
      <c r="L48" s="691">
        <f t="shared" ref="L48:L69" si="27">J48*10%+J48</f>
        <v>59.046859362015653</v>
      </c>
      <c r="M48" s="698">
        <f t="shared" ref="M48:M49" si="28">L48*5%+L48</f>
        <v>61.999202330116432</v>
      </c>
      <c r="N48" s="703">
        <f t="shared" ref="N48:N69" si="29">M48*5.3%+M48</f>
        <v>65.2851600536126</v>
      </c>
      <c r="O48" s="703">
        <f t="shared" ref="O48:O69" si="30">N48*4.9%+N48</f>
        <v>68.484132896239615</v>
      </c>
      <c r="P48" s="919">
        <f t="shared" ref="P48:P74" si="31">O48*4.4%+O48</f>
        <v>71.497434743674162</v>
      </c>
      <c r="Q48" s="898">
        <f t="shared" ref="Q48:Q74" si="32">O48*3.7%+O48</f>
        <v>71.018045813400477</v>
      </c>
      <c r="R48" s="668">
        <f t="shared" ref="R48:R74" si="33">Q48*3.3%+Q48</f>
        <v>73.361641325242687</v>
      </c>
      <c r="S48" s="668">
        <f t="shared" ref="S48:S74" si="34">R48*3.2%+R48</f>
        <v>75.709213847650446</v>
      </c>
    </row>
    <row r="49" spans="1:19" ht="15" thickBot="1">
      <c r="A49" s="192"/>
      <c r="B49" s="195"/>
      <c r="C49" s="195" t="s">
        <v>231</v>
      </c>
      <c r="D49" s="198"/>
      <c r="E49" s="323">
        <v>92.307839999999999</v>
      </c>
      <c r="F49" s="323">
        <f t="shared" si="25"/>
        <v>98.677080959999998</v>
      </c>
      <c r="G49" s="656">
        <f>F49</f>
        <v>98.677080959999998</v>
      </c>
      <c r="H49" s="687">
        <f>G49*5.3%+G49</f>
        <v>103.90696625088</v>
      </c>
      <c r="I49" s="687">
        <f t="shared" si="26"/>
        <v>109.41403546217664</v>
      </c>
      <c r="J49" s="687">
        <f t="shared" ref="J49:J69" si="35">I49-I49*0.08</f>
        <v>100.66091262520251</v>
      </c>
      <c r="K49" s="687">
        <f>I49*5.4%+I49</f>
        <v>115.32239337713418</v>
      </c>
      <c r="L49" s="683">
        <f t="shared" si="27"/>
        <v>110.72700388772276</v>
      </c>
      <c r="M49" s="688">
        <f t="shared" si="28"/>
        <v>116.26335408210889</v>
      </c>
      <c r="N49" s="687">
        <f t="shared" si="29"/>
        <v>122.42531184846067</v>
      </c>
      <c r="O49" s="687">
        <f t="shared" si="30"/>
        <v>128.42415212903524</v>
      </c>
      <c r="P49" s="919">
        <f t="shared" si="31"/>
        <v>134.0748148227128</v>
      </c>
      <c r="Q49" s="898">
        <f t="shared" si="32"/>
        <v>133.17584575780953</v>
      </c>
      <c r="R49" s="668">
        <f t="shared" si="33"/>
        <v>137.57064866781724</v>
      </c>
      <c r="S49" s="668">
        <f t="shared" si="34"/>
        <v>141.9729094251874</v>
      </c>
    </row>
    <row r="50" spans="1:19" ht="16" thickBot="1">
      <c r="A50" s="192"/>
      <c r="B50" s="193" t="s">
        <v>221</v>
      </c>
      <c r="C50" s="194" t="s">
        <v>232</v>
      </c>
      <c r="D50" s="198"/>
      <c r="E50" s="401"/>
      <c r="F50" s="401"/>
      <c r="G50" s="655"/>
      <c r="H50" s="687"/>
      <c r="I50" s="687"/>
      <c r="J50" s="687">
        <f t="shared" si="35"/>
        <v>0</v>
      </c>
      <c r="K50" s="687"/>
      <c r="L50" s="683">
        <f t="shared" si="27"/>
        <v>0</v>
      </c>
      <c r="M50" s="688"/>
      <c r="N50" s="687">
        <f t="shared" si="29"/>
        <v>0</v>
      </c>
      <c r="O50" s="687">
        <f t="shared" si="30"/>
        <v>0</v>
      </c>
      <c r="P50" s="919">
        <f t="shared" si="31"/>
        <v>0</v>
      </c>
      <c r="Q50" s="898">
        <f t="shared" si="32"/>
        <v>0</v>
      </c>
      <c r="R50" s="668">
        <f t="shared" si="33"/>
        <v>0</v>
      </c>
      <c r="S50" s="668">
        <f t="shared" si="34"/>
        <v>0</v>
      </c>
    </row>
    <row r="51" spans="1:19" ht="16" thickBot="1">
      <c r="A51" s="192"/>
      <c r="B51" s="195"/>
      <c r="C51" s="202" t="s">
        <v>15</v>
      </c>
      <c r="D51" s="198"/>
      <c r="E51" s="401"/>
      <c r="F51" s="401"/>
      <c r="G51" s="655"/>
      <c r="H51" s="687"/>
      <c r="I51" s="687"/>
      <c r="J51" s="687">
        <f t="shared" si="35"/>
        <v>0</v>
      </c>
      <c r="K51" s="687"/>
      <c r="L51" s="683">
        <f t="shared" si="27"/>
        <v>0</v>
      </c>
      <c r="M51" s="688"/>
      <c r="N51" s="687">
        <f t="shared" si="29"/>
        <v>0</v>
      </c>
      <c r="O51" s="687">
        <f t="shared" si="30"/>
        <v>0</v>
      </c>
      <c r="P51" s="919">
        <f t="shared" si="31"/>
        <v>0</v>
      </c>
      <c r="Q51" s="898">
        <f t="shared" si="32"/>
        <v>0</v>
      </c>
      <c r="R51" s="668">
        <f t="shared" si="33"/>
        <v>0</v>
      </c>
      <c r="S51" s="668">
        <f t="shared" si="34"/>
        <v>0</v>
      </c>
    </row>
    <row r="52" spans="1:19" ht="15" thickBot="1">
      <c r="A52" s="192"/>
      <c r="B52" s="195"/>
      <c r="C52" s="200" t="s">
        <v>233</v>
      </c>
      <c r="D52" s="198"/>
      <c r="E52" s="323">
        <v>7.7027999999999999</v>
      </c>
      <c r="F52" s="323">
        <f t="shared" ref="F52:F53" si="36">E52*106.9/100</f>
        <v>8.2342932000000015</v>
      </c>
      <c r="G52" s="656">
        <f>F52*106.4/100</f>
        <v>8.7612879648000028</v>
      </c>
      <c r="H52" s="687">
        <f t="shared" ref="H52:I52" si="37">G52*5.3%+G52</f>
        <v>9.2256362269344034</v>
      </c>
      <c r="I52" s="687">
        <f t="shared" si="37"/>
        <v>9.7145949469619275</v>
      </c>
      <c r="J52" s="687">
        <f t="shared" si="35"/>
        <v>8.937427351204974</v>
      </c>
      <c r="K52" s="687">
        <f>I52*5.4%+I52</f>
        <v>10.239183074097872</v>
      </c>
      <c r="L52" s="683">
        <f t="shared" si="27"/>
        <v>9.8311700863254714</v>
      </c>
      <c r="M52" s="688">
        <f>L52*5%+L52</f>
        <v>10.322728590641745</v>
      </c>
      <c r="N52" s="687">
        <f t="shared" si="29"/>
        <v>10.869833205945758</v>
      </c>
      <c r="O52" s="687">
        <f t="shared" si="30"/>
        <v>11.4024550330371</v>
      </c>
      <c r="P52" s="919">
        <f t="shared" si="31"/>
        <v>11.904163054490732</v>
      </c>
      <c r="Q52" s="898">
        <f t="shared" si="32"/>
        <v>11.824345869259473</v>
      </c>
      <c r="R52" s="668">
        <f t="shared" si="33"/>
        <v>12.214549282945034</v>
      </c>
      <c r="S52" s="668">
        <f t="shared" si="34"/>
        <v>12.605414859999275</v>
      </c>
    </row>
    <row r="53" spans="1:19" ht="15" thickBot="1">
      <c r="A53" s="192"/>
      <c r="B53" s="195"/>
      <c r="C53" s="200" t="s">
        <v>234</v>
      </c>
      <c r="D53" s="198"/>
      <c r="E53" s="323">
        <v>7.7027999999999999</v>
      </c>
      <c r="F53" s="323">
        <f t="shared" si="36"/>
        <v>8.2342932000000015</v>
      </c>
      <c r="G53" s="656">
        <f>F53*106.4/100</f>
        <v>8.7612879648000028</v>
      </c>
      <c r="H53" s="687">
        <f t="shared" ref="H53:I53" si="38">G53*5.3%+G53</f>
        <v>9.2256362269344034</v>
      </c>
      <c r="I53" s="687">
        <f t="shared" si="38"/>
        <v>9.7145949469619275</v>
      </c>
      <c r="J53" s="687">
        <f t="shared" si="35"/>
        <v>8.937427351204974</v>
      </c>
      <c r="K53" s="687">
        <f>I53*5.4%+I53</f>
        <v>10.239183074097872</v>
      </c>
      <c r="L53" s="683">
        <f t="shared" si="27"/>
        <v>9.8311700863254714</v>
      </c>
      <c r="M53" s="688">
        <f>L53*5%+L53</f>
        <v>10.322728590641745</v>
      </c>
      <c r="N53" s="687">
        <f t="shared" si="29"/>
        <v>10.869833205945758</v>
      </c>
      <c r="O53" s="687">
        <f t="shared" si="30"/>
        <v>11.4024550330371</v>
      </c>
      <c r="P53" s="919">
        <f t="shared" si="31"/>
        <v>11.904163054490732</v>
      </c>
      <c r="Q53" s="898">
        <f t="shared" si="32"/>
        <v>11.824345869259473</v>
      </c>
      <c r="R53" s="668">
        <f t="shared" si="33"/>
        <v>12.214549282945034</v>
      </c>
      <c r="S53" s="668">
        <f t="shared" si="34"/>
        <v>12.605414859999275</v>
      </c>
    </row>
    <row r="54" spans="1:19" ht="16" thickBot="1">
      <c r="A54" s="192"/>
      <c r="B54" s="195"/>
      <c r="C54" s="200"/>
      <c r="D54" s="198"/>
      <c r="E54" s="401"/>
      <c r="F54" s="401"/>
      <c r="G54" s="656"/>
      <c r="H54" s="687"/>
      <c r="I54" s="687"/>
      <c r="J54" s="687">
        <f t="shared" si="35"/>
        <v>0</v>
      </c>
      <c r="K54" s="687"/>
      <c r="L54" s="683">
        <f t="shared" si="27"/>
        <v>0</v>
      </c>
      <c r="M54" s="688"/>
      <c r="N54" s="687">
        <f t="shared" si="29"/>
        <v>0</v>
      </c>
      <c r="O54" s="687">
        <f t="shared" si="30"/>
        <v>0</v>
      </c>
      <c r="P54" s="919">
        <f t="shared" si="31"/>
        <v>0</v>
      </c>
      <c r="Q54" s="898">
        <f t="shared" si="32"/>
        <v>0</v>
      </c>
      <c r="R54" s="668">
        <f t="shared" si="33"/>
        <v>0</v>
      </c>
      <c r="S54" s="668">
        <f t="shared" si="34"/>
        <v>0</v>
      </c>
    </row>
    <row r="55" spans="1:19" ht="15" thickBot="1">
      <c r="A55" s="192"/>
      <c r="B55" s="195"/>
      <c r="C55" s="202" t="s">
        <v>235</v>
      </c>
      <c r="D55" s="198"/>
      <c r="E55" s="323">
        <v>30.695919999999997</v>
      </c>
      <c r="F55" s="323">
        <f>E55*106.9/100</f>
        <v>32.813938479999997</v>
      </c>
      <c r="G55" s="656">
        <f>F55*106.4/100</f>
        <v>34.914030542719999</v>
      </c>
      <c r="H55" s="687">
        <f t="shared" ref="H55:I55" si="39">G55*5.3%+G55</f>
        <v>36.764474161484159</v>
      </c>
      <c r="I55" s="687">
        <f t="shared" si="39"/>
        <v>38.712991292042823</v>
      </c>
      <c r="J55" s="687">
        <f t="shared" si="35"/>
        <v>35.615951988679399</v>
      </c>
      <c r="K55" s="687">
        <f>I55*5.4%+I55</f>
        <v>40.803492821813137</v>
      </c>
      <c r="L55" s="683">
        <f t="shared" si="27"/>
        <v>39.17754718754734</v>
      </c>
      <c r="M55" s="688">
        <f>L55*5%+L55</f>
        <v>41.136424546924708</v>
      </c>
      <c r="N55" s="687">
        <f t="shared" si="29"/>
        <v>43.316655047911716</v>
      </c>
      <c r="O55" s="687">
        <f t="shared" si="30"/>
        <v>45.439171145259394</v>
      </c>
      <c r="P55" s="919">
        <f t="shared" si="31"/>
        <v>47.438494675650809</v>
      </c>
      <c r="Q55" s="898">
        <f t="shared" si="32"/>
        <v>47.120420477633992</v>
      </c>
      <c r="R55" s="668">
        <f t="shared" si="33"/>
        <v>48.675394353395916</v>
      </c>
      <c r="S55" s="668">
        <f t="shared" si="34"/>
        <v>50.233006972704587</v>
      </c>
    </row>
    <row r="56" spans="1:19" ht="16" thickBot="1">
      <c r="A56" s="192"/>
      <c r="B56" s="195"/>
      <c r="C56" s="200"/>
      <c r="D56" s="198"/>
      <c r="E56" s="401"/>
      <c r="F56" s="401"/>
      <c r="G56" s="656"/>
      <c r="H56" s="687"/>
      <c r="I56" s="687"/>
      <c r="J56" s="687">
        <f t="shared" si="35"/>
        <v>0</v>
      </c>
      <c r="K56" s="687"/>
      <c r="L56" s="683">
        <f t="shared" si="27"/>
        <v>0</v>
      </c>
      <c r="M56" s="688"/>
      <c r="N56" s="687">
        <f t="shared" si="29"/>
        <v>0</v>
      </c>
      <c r="O56" s="687">
        <f t="shared" si="30"/>
        <v>0</v>
      </c>
      <c r="P56" s="919">
        <f t="shared" si="31"/>
        <v>0</v>
      </c>
      <c r="Q56" s="898">
        <f t="shared" si="32"/>
        <v>0</v>
      </c>
      <c r="R56" s="668">
        <f t="shared" si="33"/>
        <v>0</v>
      </c>
      <c r="S56" s="668">
        <f t="shared" si="34"/>
        <v>0</v>
      </c>
    </row>
    <row r="57" spans="1:19" ht="15" thickBot="1">
      <c r="A57" s="3"/>
      <c r="B57" s="73" t="s">
        <v>51</v>
      </c>
      <c r="C57" s="13"/>
      <c r="D57" s="74" t="s">
        <v>52</v>
      </c>
      <c r="E57" s="398">
        <v>4.3387199999999995</v>
      </c>
      <c r="F57" s="398">
        <f t="shared" ref="F57:F58" si="40">E57*106.9/100</f>
        <v>4.6380916799999996</v>
      </c>
      <c r="G57" s="656">
        <f>F57*106.4/100</f>
        <v>4.9349295475200003</v>
      </c>
      <c r="H57" s="687">
        <f t="shared" ref="H57:I57" si="41">G57*5.3%+G57</f>
        <v>5.1964808135385603</v>
      </c>
      <c r="I57" s="687">
        <f t="shared" si="41"/>
        <v>5.4718942966561039</v>
      </c>
      <c r="J57" s="687">
        <f t="shared" si="35"/>
        <v>5.034142752923616</v>
      </c>
      <c r="K57" s="687">
        <f>I57*5.4%+I57</f>
        <v>5.7673765886755337</v>
      </c>
      <c r="L57" s="683">
        <f t="shared" si="27"/>
        <v>5.5375570282159776</v>
      </c>
      <c r="M57" s="688">
        <f>L57*5%+L57</f>
        <v>5.8144348796267762</v>
      </c>
      <c r="N57" s="687">
        <f t="shared" si="29"/>
        <v>6.1225999282469949</v>
      </c>
      <c r="O57" s="687">
        <f t="shared" si="30"/>
        <v>6.4226073247310973</v>
      </c>
      <c r="P57" s="919">
        <f t="shared" si="31"/>
        <v>6.7052020470192657</v>
      </c>
      <c r="Q57" s="898">
        <f t="shared" si="32"/>
        <v>6.6602437957461476</v>
      </c>
      <c r="R57" s="668">
        <f t="shared" si="33"/>
        <v>6.8800318410057706</v>
      </c>
      <c r="S57" s="668">
        <f t="shared" si="34"/>
        <v>7.1001928599179553</v>
      </c>
    </row>
    <row r="58" spans="1:19" ht="15" thickBot="1">
      <c r="A58" s="192"/>
      <c r="B58" s="195"/>
      <c r="C58" s="202" t="s">
        <v>224</v>
      </c>
      <c r="D58" s="198"/>
      <c r="E58" s="323">
        <v>7.2312000000000003</v>
      </c>
      <c r="F58" s="323">
        <f t="shared" si="40"/>
        <v>7.7301528000000008</v>
      </c>
      <c r="G58" s="656">
        <f>F58*106.4/100</f>
        <v>8.2248825792000009</v>
      </c>
      <c r="H58" s="687">
        <f t="shared" ref="H58:I58" si="42">G58*5.3%+G58</f>
        <v>8.6608013558976005</v>
      </c>
      <c r="I58" s="687">
        <f t="shared" si="42"/>
        <v>9.1198238277601735</v>
      </c>
      <c r="J58" s="687">
        <f t="shared" si="35"/>
        <v>8.3902379215393594</v>
      </c>
      <c r="K58" s="687">
        <f>I58*5.4%+I58</f>
        <v>9.6122943144592234</v>
      </c>
      <c r="L58" s="683">
        <f t="shared" si="27"/>
        <v>9.2292617136932957</v>
      </c>
      <c r="M58" s="688">
        <f>L58*5%+L58</f>
        <v>9.6907247993779606</v>
      </c>
      <c r="N58" s="687">
        <f t="shared" si="29"/>
        <v>10.204333213744992</v>
      </c>
      <c r="O58" s="687">
        <f t="shared" si="30"/>
        <v>10.704345541218496</v>
      </c>
      <c r="P58" s="919">
        <f t="shared" si="31"/>
        <v>11.17533674503211</v>
      </c>
      <c r="Q58" s="898">
        <f t="shared" si="32"/>
        <v>11.100406326243581</v>
      </c>
      <c r="R58" s="668">
        <f t="shared" si="33"/>
        <v>11.466719735009619</v>
      </c>
      <c r="S58" s="668">
        <f t="shared" si="34"/>
        <v>11.833654766529927</v>
      </c>
    </row>
    <row r="59" spans="1:19" ht="16" thickBot="1">
      <c r="A59" s="192"/>
      <c r="B59" s="193" t="s">
        <v>225</v>
      </c>
      <c r="C59" s="209" t="s">
        <v>236</v>
      </c>
      <c r="D59" s="198"/>
      <c r="E59" s="395"/>
      <c r="F59" s="395"/>
      <c r="G59" s="656"/>
      <c r="H59" s="687"/>
      <c r="I59" s="687"/>
      <c r="J59" s="687">
        <f t="shared" si="35"/>
        <v>0</v>
      </c>
      <c r="K59" s="687"/>
      <c r="L59" s="683">
        <f t="shared" si="27"/>
        <v>0</v>
      </c>
      <c r="M59" s="688"/>
      <c r="N59" s="687">
        <f t="shared" si="29"/>
        <v>0</v>
      </c>
      <c r="O59" s="687">
        <f t="shared" si="30"/>
        <v>0</v>
      </c>
      <c r="P59" s="919">
        <f t="shared" si="31"/>
        <v>0</v>
      </c>
      <c r="Q59" s="898">
        <f t="shared" si="32"/>
        <v>0</v>
      </c>
      <c r="R59" s="668">
        <f t="shared" si="33"/>
        <v>0</v>
      </c>
      <c r="S59" s="668">
        <f t="shared" si="34"/>
        <v>0</v>
      </c>
    </row>
    <row r="60" spans="1:19" ht="15" thickBot="1">
      <c r="A60" s="192"/>
      <c r="B60" s="195"/>
      <c r="C60" s="195"/>
      <c r="D60" s="198"/>
      <c r="E60" s="195"/>
      <c r="F60" s="195"/>
      <c r="G60" s="656"/>
      <c r="H60" s="687"/>
      <c r="I60" s="687"/>
      <c r="J60" s="687">
        <f t="shared" si="35"/>
        <v>0</v>
      </c>
      <c r="K60" s="687"/>
      <c r="L60" s="683">
        <f t="shared" si="27"/>
        <v>0</v>
      </c>
      <c r="M60" s="688"/>
      <c r="N60" s="687">
        <f t="shared" si="29"/>
        <v>0</v>
      </c>
      <c r="O60" s="687">
        <f t="shared" si="30"/>
        <v>0</v>
      </c>
      <c r="P60" s="919">
        <f t="shared" si="31"/>
        <v>0</v>
      </c>
      <c r="Q60" s="898">
        <f t="shared" si="32"/>
        <v>0</v>
      </c>
      <c r="R60" s="668">
        <f t="shared" si="33"/>
        <v>0</v>
      </c>
      <c r="S60" s="668">
        <f t="shared" si="34"/>
        <v>0</v>
      </c>
    </row>
    <row r="61" spans="1:19" ht="15" thickBot="1">
      <c r="A61" s="192"/>
      <c r="B61" s="193" t="s">
        <v>237</v>
      </c>
      <c r="C61" s="209" t="s">
        <v>238</v>
      </c>
      <c r="D61" s="198"/>
      <c r="E61" s="195"/>
      <c r="F61" s="195"/>
      <c r="G61" s="656"/>
      <c r="H61" s="687"/>
      <c r="I61" s="687"/>
      <c r="J61" s="687">
        <f t="shared" si="35"/>
        <v>0</v>
      </c>
      <c r="K61" s="687"/>
      <c r="L61" s="683">
        <f t="shared" si="27"/>
        <v>0</v>
      </c>
      <c r="M61" s="688"/>
      <c r="N61" s="687">
        <f t="shared" si="29"/>
        <v>0</v>
      </c>
      <c r="O61" s="687">
        <f t="shared" si="30"/>
        <v>0</v>
      </c>
      <c r="P61" s="919">
        <f t="shared" si="31"/>
        <v>0</v>
      </c>
      <c r="Q61" s="898">
        <f t="shared" si="32"/>
        <v>0</v>
      </c>
      <c r="R61" s="668">
        <f t="shared" si="33"/>
        <v>0</v>
      </c>
      <c r="S61" s="668">
        <f t="shared" si="34"/>
        <v>0</v>
      </c>
    </row>
    <row r="62" spans="1:19" ht="15" thickBot="1">
      <c r="A62" s="192"/>
      <c r="B62" s="195"/>
      <c r="C62" s="195" t="s">
        <v>239</v>
      </c>
      <c r="D62" s="198"/>
      <c r="E62" s="195"/>
      <c r="F62" s="195"/>
      <c r="G62" s="656"/>
      <c r="H62" s="687"/>
      <c r="I62" s="687"/>
      <c r="J62" s="687">
        <f t="shared" si="35"/>
        <v>0</v>
      </c>
      <c r="K62" s="687"/>
      <c r="L62" s="683">
        <f t="shared" si="27"/>
        <v>0</v>
      </c>
      <c r="M62" s="688"/>
      <c r="N62" s="687">
        <f t="shared" si="29"/>
        <v>0</v>
      </c>
      <c r="O62" s="687">
        <f t="shared" si="30"/>
        <v>0</v>
      </c>
      <c r="P62" s="919">
        <f t="shared" si="31"/>
        <v>0</v>
      </c>
      <c r="Q62" s="898">
        <f t="shared" si="32"/>
        <v>0</v>
      </c>
      <c r="R62" s="668">
        <f t="shared" si="33"/>
        <v>0</v>
      </c>
      <c r="S62" s="668">
        <f t="shared" si="34"/>
        <v>0</v>
      </c>
    </row>
    <row r="63" spans="1:19" ht="15" thickBot="1">
      <c r="A63" s="192"/>
      <c r="B63" s="195"/>
      <c r="C63" s="195"/>
      <c r="D63" s="198"/>
      <c r="E63" s="195"/>
      <c r="F63" s="195"/>
      <c r="G63" s="656"/>
      <c r="H63" s="687"/>
      <c r="I63" s="687"/>
      <c r="J63" s="687">
        <f t="shared" si="35"/>
        <v>0</v>
      </c>
      <c r="K63" s="687"/>
      <c r="L63" s="683">
        <f t="shared" si="27"/>
        <v>0</v>
      </c>
      <c r="M63" s="688"/>
      <c r="N63" s="687">
        <f t="shared" si="29"/>
        <v>0</v>
      </c>
      <c r="O63" s="687">
        <f t="shared" si="30"/>
        <v>0</v>
      </c>
      <c r="P63" s="919">
        <f t="shared" si="31"/>
        <v>0</v>
      </c>
      <c r="Q63" s="898">
        <f t="shared" si="32"/>
        <v>0</v>
      </c>
      <c r="R63" s="668">
        <f t="shared" si="33"/>
        <v>0</v>
      </c>
      <c r="S63" s="668">
        <f t="shared" si="34"/>
        <v>0</v>
      </c>
    </row>
    <row r="64" spans="1:19" ht="15" thickBot="1">
      <c r="A64" s="192"/>
      <c r="B64" s="193" t="s">
        <v>240</v>
      </c>
      <c r="C64" s="209" t="s">
        <v>241</v>
      </c>
      <c r="D64" s="198"/>
      <c r="E64" s="195"/>
      <c r="F64" s="195"/>
      <c r="G64" s="656"/>
      <c r="H64" s="687"/>
      <c r="I64" s="687"/>
      <c r="J64" s="687">
        <f t="shared" si="35"/>
        <v>0</v>
      </c>
      <c r="K64" s="687"/>
      <c r="L64" s="683">
        <f t="shared" si="27"/>
        <v>0</v>
      </c>
      <c r="M64" s="688"/>
      <c r="N64" s="687">
        <f t="shared" si="29"/>
        <v>0</v>
      </c>
      <c r="O64" s="687">
        <f t="shared" si="30"/>
        <v>0</v>
      </c>
      <c r="P64" s="919">
        <f t="shared" si="31"/>
        <v>0</v>
      </c>
      <c r="Q64" s="898">
        <f t="shared" si="32"/>
        <v>0</v>
      </c>
      <c r="R64" s="668">
        <f t="shared" si="33"/>
        <v>0</v>
      </c>
      <c r="S64" s="668">
        <f t="shared" si="34"/>
        <v>0</v>
      </c>
    </row>
    <row r="65" spans="1:19" ht="15" thickBot="1">
      <c r="A65" s="192"/>
      <c r="B65" s="604"/>
      <c r="C65" s="604" t="s">
        <v>242</v>
      </c>
      <c r="D65" s="606"/>
      <c r="E65" s="195"/>
      <c r="F65" s="195"/>
      <c r="G65" s="656"/>
      <c r="H65" s="687"/>
      <c r="I65" s="687"/>
      <c r="J65" s="687">
        <f t="shared" si="35"/>
        <v>0</v>
      </c>
      <c r="K65" s="687"/>
      <c r="L65" s="683">
        <f t="shared" si="27"/>
        <v>0</v>
      </c>
      <c r="M65" s="688"/>
      <c r="N65" s="687">
        <f t="shared" si="29"/>
        <v>0</v>
      </c>
      <c r="O65" s="687">
        <f t="shared" si="30"/>
        <v>0</v>
      </c>
      <c r="P65" s="919">
        <f t="shared" si="31"/>
        <v>0</v>
      </c>
      <c r="Q65" s="898">
        <f t="shared" si="32"/>
        <v>0</v>
      </c>
      <c r="R65" s="668">
        <f t="shared" si="33"/>
        <v>0</v>
      </c>
      <c r="S65" s="668">
        <f t="shared" si="34"/>
        <v>0</v>
      </c>
    </row>
    <row r="66" spans="1:19" ht="15" thickBot="1">
      <c r="A66" s="192"/>
      <c r="B66" s="608" t="s">
        <v>1254</v>
      </c>
      <c r="C66" s="913" t="s">
        <v>1250</v>
      </c>
      <c r="D66" s="606"/>
      <c r="E66" s="605"/>
      <c r="F66" s="604"/>
      <c r="G66" s="656"/>
      <c r="H66" s="687"/>
      <c r="I66" s="687"/>
      <c r="J66" s="687">
        <f t="shared" si="35"/>
        <v>0</v>
      </c>
      <c r="K66" s="687"/>
      <c r="L66" s="683">
        <f t="shared" si="27"/>
        <v>0</v>
      </c>
      <c r="M66" s="688"/>
      <c r="N66" s="687">
        <f t="shared" si="29"/>
        <v>0</v>
      </c>
      <c r="O66" s="687">
        <f t="shared" si="30"/>
        <v>0</v>
      </c>
      <c r="P66" s="919">
        <f t="shared" si="31"/>
        <v>0</v>
      </c>
      <c r="Q66" s="898">
        <f t="shared" si="32"/>
        <v>0</v>
      </c>
      <c r="R66" s="668">
        <f t="shared" si="33"/>
        <v>0</v>
      </c>
      <c r="S66" s="668">
        <f t="shared" si="34"/>
        <v>0</v>
      </c>
    </row>
    <row r="67" spans="1:19" ht="15" thickBot="1">
      <c r="A67" s="192"/>
      <c r="B67" s="604"/>
      <c r="C67" s="604" t="s">
        <v>320</v>
      </c>
      <c r="D67" s="609"/>
      <c r="E67" s="605"/>
      <c r="F67" s="604">
        <v>256.72000000000003</v>
      </c>
      <c r="G67" s="656">
        <f t="shared" ref="G67:G69" si="43">F67*106.4/100</f>
        <v>273.15008000000006</v>
      </c>
      <c r="H67" s="687">
        <f t="shared" ref="H67:I67" si="44">G67*5.3%+G67</f>
        <v>287.62703424000006</v>
      </c>
      <c r="I67" s="687">
        <f t="shared" si="44"/>
        <v>302.87126705472008</v>
      </c>
      <c r="J67" s="687">
        <f t="shared" si="35"/>
        <v>278.64156569034247</v>
      </c>
      <c r="K67" s="687">
        <f>I67*5.4%+I67</f>
        <v>319.22631547567494</v>
      </c>
      <c r="L67" s="683">
        <f t="shared" si="27"/>
        <v>306.50572225937674</v>
      </c>
      <c r="M67" s="688">
        <f>L67*5%+L67</f>
        <v>321.83100837234559</v>
      </c>
      <c r="N67" s="704">
        <f t="shared" si="29"/>
        <v>338.88805181607989</v>
      </c>
      <c r="O67" s="704">
        <f t="shared" si="30"/>
        <v>355.4935663550678</v>
      </c>
      <c r="P67" s="919">
        <f t="shared" si="31"/>
        <v>371.13528327469078</v>
      </c>
      <c r="Q67" s="898">
        <f t="shared" si="32"/>
        <v>368.64682831020531</v>
      </c>
      <c r="R67" s="668">
        <f t="shared" si="33"/>
        <v>380.81217364444205</v>
      </c>
      <c r="S67" s="668">
        <f t="shared" si="34"/>
        <v>392.99816320106419</v>
      </c>
    </row>
    <row r="68" spans="1:19" ht="15" thickBot="1">
      <c r="A68" s="3"/>
      <c r="B68" s="398"/>
      <c r="C68" s="398" t="s">
        <v>321</v>
      </c>
      <c r="D68" s="398"/>
      <c r="E68" s="607">
        <v>277.14359999999999</v>
      </c>
      <c r="F68" s="398">
        <f t="shared" ref="F68:F69" si="45">E68*106.9/100</f>
        <v>296.26650840000002</v>
      </c>
      <c r="G68" s="656">
        <f t="shared" si="43"/>
        <v>315.22756493760005</v>
      </c>
      <c r="H68" s="687">
        <f t="shared" ref="H68:I68" si="46">G68*5.3%+G68</f>
        <v>331.93462587929287</v>
      </c>
      <c r="I68" s="687">
        <f t="shared" si="46"/>
        <v>349.52716105089542</v>
      </c>
      <c r="J68" s="687">
        <f t="shared" si="35"/>
        <v>321.56498816682381</v>
      </c>
      <c r="K68" s="687">
        <f>I68*5.4%+I68</f>
        <v>368.40162774764377</v>
      </c>
      <c r="L68" s="683">
        <f t="shared" si="27"/>
        <v>353.72148698350617</v>
      </c>
      <c r="M68" s="688">
        <f>L68*5%+L68</f>
        <v>371.4075613326815</v>
      </c>
      <c r="N68" s="704">
        <f t="shared" si="29"/>
        <v>391.09216208331361</v>
      </c>
      <c r="O68" s="704">
        <f t="shared" si="30"/>
        <v>410.25567802539598</v>
      </c>
      <c r="P68" s="919">
        <f t="shared" si="31"/>
        <v>428.3069278585134</v>
      </c>
      <c r="Q68" s="898">
        <f t="shared" si="32"/>
        <v>425.43513811233561</v>
      </c>
      <c r="R68" s="668">
        <f t="shared" si="33"/>
        <v>439.47449767004269</v>
      </c>
      <c r="S68" s="668">
        <f t="shared" si="34"/>
        <v>453.53768159548406</v>
      </c>
    </row>
    <row r="69" spans="1:19" ht="15" thickBot="1">
      <c r="A69" s="3"/>
      <c r="B69" s="398"/>
      <c r="C69" s="398" t="s">
        <v>322</v>
      </c>
      <c r="D69" s="398"/>
      <c r="E69" s="607">
        <v>346.42688000000004</v>
      </c>
      <c r="F69" s="398">
        <f t="shared" si="45"/>
        <v>370.33033472000005</v>
      </c>
      <c r="G69" s="656">
        <f t="shared" si="43"/>
        <v>394.03147614208007</v>
      </c>
      <c r="H69" s="687">
        <f t="shared" ref="H69:I69" si="47">G69*5.3%+G69</f>
        <v>414.91514437761032</v>
      </c>
      <c r="I69" s="687">
        <f t="shared" si="47"/>
        <v>436.90564702962365</v>
      </c>
      <c r="J69" s="687">
        <f t="shared" si="35"/>
        <v>401.95319526725376</v>
      </c>
      <c r="K69" s="687">
        <f>I69*5.4%+I69</f>
        <v>460.49855196922334</v>
      </c>
      <c r="L69" s="683">
        <f t="shared" si="27"/>
        <v>442.14851479397913</v>
      </c>
      <c r="M69" s="688">
        <f>L69*5%+L69</f>
        <v>464.25594053367809</v>
      </c>
      <c r="N69" s="709">
        <f t="shared" si="29"/>
        <v>488.86150538196301</v>
      </c>
      <c r="O69" s="709">
        <f t="shared" si="30"/>
        <v>512.81571914567917</v>
      </c>
      <c r="P69" s="919">
        <f t="shared" si="31"/>
        <v>535.37961078808905</v>
      </c>
      <c r="Q69" s="898">
        <f t="shared" si="32"/>
        <v>531.78990075406932</v>
      </c>
      <c r="R69" s="668">
        <f t="shared" si="33"/>
        <v>549.33896747895358</v>
      </c>
      <c r="S69" s="668">
        <f t="shared" si="34"/>
        <v>566.91781443828006</v>
      </c>
    </row>
    <row r="70" spans="1:19" ht="15" thickBot="1">
      <c r="A70" s="3"/>
      <c r="B70" s="773"/>
      <c r="C70" s="773"/>
      <c r="D70" s="773"/>
      <c r="E70" s="774"/>
      <c r="F70" s="773"/>
      <c r="G70" s="656"/>
      <c r="H70" s="687"/>
      <c r="I70" s="687"/>
      <c r="J70" s="687"/>
      <c r="K70" s="687"/>
      <c r="L70" s="683"/>
      <c r="M70" s="688"/>
      <c r="N70" s="775"/>
      <c r="O70" s="775"/>
      <c r="P70" s="919">
        <f t="shared" si="31"/>
        <v>0</v>
      </c>
      <c r="Q70" s="898">
        <f t="shared" si="32"/>
        <v>0</v>
      </c>
      <c r="R70" s="668">
        <f t="shared" si="33"/>
        <v>0</v>
      </c>
      <c r="S70" s="668">
        <f t="shared" si="34"/>
        <v>0</v>
      </c>
    </row>
    <row r="71" spans="1:19" ht="15" thickBot="1">
      <c r="A71" s="3"/>
      <c r="B71" s="773"/>
      <c r="C71" s="773" t="s">
        <v>323</v>
      </c>
      <c r="D71" s="773"/>
      <c r="E71" s="774"/>
      <c r="F71" s="773"/>
      <c r="G71" s="656"/>
      <c r="H71" s="687"/>
      <c r="I71" s="687"/>
      <c r="J71" s="687"/>
      <c r="K71" s="687"/>
      <c r="L71" s="683"/>
      <c r="M71" s="688">
        <f>M38/2</f>
        <v>10.322966403750002</v>
      </c>
      <c r="N71" s="775">
        <f>M71*5.3%+M71</f>
        <v>10.870083623148751</v>
      </c>
      <c r="O71" s="775">
        <f>N71*4.9%+N71</f>
        <v>11.402717720683039</v>
      </c>
      <c r="P71" s="919">
        <f t="shared" si="31"/>
        <v>11.904437300393093</v>
      </c>
      <c r="Q71" s="898">
        <f t="shared" si="32"/>
        <v>11.824618276348312</v>
      </c>
      <c r="R71" s="668">
        <f t="shared" si="33"/>
        <v>12.214830679467807</v>
      </c>
      <c r="S71" s="668">
        <f t="shared" si="34"/>
        <v>12.605705261210778</v>
      </c>
    </row>
    <row r="72" spans="1:19" ht="15" thickBot="1">
      <c r="A72" s="192"/>
      <c r="B72" s="604"/>
      <c r="C72" s="604"/>
      <c r="D72" s="604"/>
      <c r="E72" s="195"/>
      <c r="F72" s="195"/>
      <c r="G72" s="651"/>
      <c r="H72" s="651"/>
      <c r="I72" s="651"/>
      <c r="J72" s="651"/>
      <c r="K72" s="651"/>
      <c r="L72" s="651"/>
      <c r="M72" s="652"/>
      <c r="N72" s="651"/>
      <c r="O72" s="684"/>
      <c r="P72" s="919">
        <f t="shared" si="31"/>
        <v>0</v>
      </c>
      <c r="Q72" s="898">
        <f t="shared" si="32"/>
        <v>0</v>
      </c>
      <c r="R72" s="668">
        <f t="shared" si="33"/>
        <v>0</v>
      </c>
      <c r="S72" s="668">
        <f t="shared" si="34"/>
        <v>0</v>
      </c>
    </row>
    <row r="73" spans="1:19" ht="15" thickBot="1">
      <c r="A73" s="62"/>
      <c r="B73" s="61" t="s">
        <v>29</v>
      </c>
      <c r="E73" s="13"/>
      <c r="K73" s="651"/>
      <c r="L73" s="651"/>
      <c r="M73" s="652"/>
      <c r="N73" s="710"/>
      <c r="O73" s="893"/>
      <c r="P73" s="919">
        <f t="shared" si="31"/>
        <v>0</v>
      </c>
      <c r="Q73" s="898">
        <f t="shared" si="32"/>
        <v>0</v>
      </c>
      <c r="R73" s="668">
        <f t="shared" si="33"/>
        <v>0</v>
      </c>
      <c r="S73" s="668">
        <f t="shared" si="34"/>
        <v>0</v>
      </c>
    </row>
    <row r="74" spans="1:19" ht="15" thickBot="1">
      <c r="B74" s="989" t="s">
        <v>10</v>
      </c>
      <c r="C74" s="990"/>
      <c r="D74" s="991"/>
      <c r="E74" s="1002"/>
      <c r="F74" s="1002"/>
      <c r="G74" s="1003"/>
      <c r="H74" s="986"/>
      <c r="I74" s="986"/>
      <c r="J74" s="986"/>
      <c r="K74" s="987"/>
      <c r="L74" s="749"/>
      <c r="M74" s="749"/>
      <c r="N74" s="750"/>
      <c r="O74" s="750"/>
      <c r="P74" s="919">
        <f t="shared" si="31"/>
        <v>0</v>
      </c>
      <c r="Q74" s="898">
        <f t="shared" si="32"/>
        <v>0</v>
      </c>
      <c r="R74" s="668">
        <f t="shared" si="33"/>
        <v>0</v>
      </c>
      <c r="S74" s="668">
        <f t="shared" si="34"/>
        <v>0</v>
      </c>
    </row>
    <row r="75" spans="1:19" ht="31" thickBot="1">
      <c r="A75" s="3"/>
      <c r="B75" s="324" t="s">
        <v>31</v>
      </c>
      <c r="C75" s="286"/>
      <c r="D75" s="287"/>
      <c r="E75" s="12" t="s">
        <v>299</v>
      </c>
      <c r="F75" s="12" t="s">
        <v>300</v>
      </c>
      <c r="G75" s="644" t="s">
        <v>301</v>
      </c>
      <c r="H75" s="644" t="s">
        <v>302</v>
      </c>
      <c r="I75" s="644" t="s">
        <v>303</v>
      </c>
      <c r="J75" s="645" t="s">
        <v>304</v>
      </c>
      <c r="K75" s="645" t="s">
        <v>324</v>
      </c>
      <c r="L75" s="645" t="s">
        <v>305</v>
      </c>
      <c r="M75" s="694" t="s">
        <v>306</v>
      </c>
      <c r="N75" s="881" t="s">
        <v>307</v>
      </c>
      <c r="O75" s="894" t="s">
        <v>308</v>
      </c>
      <c r="P75" s="921" t="s">
        <v>309</v>
      </c>
      <c r="Q75" s="921" t="s">
        <v>310</v>
      </c>
      <c r="R75" s="881" t="s">
        <v>1248</v>
      </c>
      <c r="S75" s="881" t="s">
        <v>1251</v>
      </c>
    </row>
    <row r="76" spans="1:19" ht="15" thickBot="1">
      <c r="A76" s="3"/>
      <c r="B76" s="26" t="s">
        <v>33</v>
      </c>
      <c r="C76" s="59" t="s">
        <v>34</v>
      </c>
      <c r="D76" s="60"/>
      <c r="E76" s="66" t="s">
        <v>14</v>
      </c>
      <c r="F76" s="66" t="s">
        <v>14</v>
      </c>
      <c r="G76" s="659" t="s">
        <v>14</v>
      </c>
      <c r="H76" s="659" t="s">
        <v>14</v>
      </c>
      <c r="I76" s="659" t="s">
        <v>14</v>
      </c>
      <c r="J76" s="659"/>
      <c r="K76" s="651" t="str">
        <f>I76</f>
        <v>Free</v>
      </c>
      <c r="L76" s="651" t="str">
        <f>K76</f>
        <v>Free</v>
      </c>
      <c r="M76" s="651" t="str">
        <f>L76</f>
        <v>Free</v>
      </c>
      <c r="N76" s="651"/>
      <c r="O76" s="684"/>
      <c r="P76" s="919">
        <f t="shared" ref="P76:P96" si="48">O76*4.4%+O76</f>
        <v>0</v>
      </c>
      <c r="Q76" s="898">
        <f t="shared" ref="Q76:Q96" si="49">O76*3.7%+O76</f>
        <v>0</v>
      </c>
      <c r="R76" s="668">
        <f t="shared" ref="R76:R96" si="50">Q76*3.3%+Q76</f>
        <v>0</v>
      </c>
      <c r="S76" s="668">
        <f t="shared" ref="S76:S96" si="51">R76*3.2%+R76</f>
        <v>0</v>
      </c>
    </row>
    <row r="77" spans="1:19" ht="15" thickBot="1">
      <c r="A77" s="3"/>
      <c r="B77" s="32" t="s">
        <v>35</v>
      </c>
      <c r="C77" s="62" t="s">
        <v>37</v>
      </c>
      <c r="D77" s="63" t="s">
        <v>38</v>
      </c>
      <c r="E77" s="398">
        <v>103.93016</v>
      </c>
      <c r="F77" s="398">
        <f t="shared" ref="F77:F96" si="52">E77*106.9/100</f>
        <v>111.10134104000001</v>
      </c>
      <c r="G77" s="660">
        <f>F77*106.4/100</f>
        <v>118.21182686656002</v>
      </c>
      <c r="H77" s="660">
        <f>G77*5.3%+G77</f>
        <v>124.47705369048769</v>
      </c>
      <c r="I77" s="660">
        <f t="shared" ref="I77" si="53">H77*5.3%+H77</f>
        <v>131.07433753608353</v>
      </c>
      <c r="J77" s="660">
        <f>I77-I77*0.08</f>
        <v>120.58839053319684</v>
      </c>
      <c r="K77" s="660">
        <f>I77*5.4%+I77</f>
        <v>138.15235176303204</v>
      </c>
      <c r="L77" s="714">
        <f t="shared" ref="L77:L96" si="54">J77*10%+J77</f>
        <v>132.64722958651652</v>
      </c>
      <c r="M77" s="714">
        <f t="shared" ref="M77:M79" si="55">L77*5%+L77</f>
        <v>139.27959106584234</v>
      </c>
      <c r="N77" s="714">
        <f t="shared" ref="N77:N96" si="56">M77*5.3%+M77</f>
        <v>146.66140939233199</v>
      </c>
      <c r="O77" s="895">
        <f t="shared" ref="O77:O96" si="57">N77*4.9%+N77</f>
        <v>153.84781845255625</v>
      </c>
      <c r="P77" s="919">
        <f t="shared" si="48"/>
        <v>160.61712246446874</v>
      </c>
      <c r="Q77" s="898">
        <f t="shared" si="49"/>
        <v>159.54018773530083</v>
      </c>
      <c r="R77" s="668">
        <f t="shared" si="50"/>
        <v>164.80501393056576</v>
      </c>
      <c r="S77" s="668">
        <f t="shared" si="51"/>
        <v>170.07877437634386</v>
      </c>
    </row>
    <row r="78" spans="1:19" ht="15" thickBot="1">
      <c r="A78" s="3"/>
      <c r="B78" s="73" t="s">
        <v>39</v>
      </c>
      <c r="C78" s="74" t="s">
        <v>40</v>
      </c>
      <c r="D78" s="75" t="s">
        <v>38</v>
      </c>
      <c r="E78" s="398">
        <v>155.88999999999999</v>
      </c>
      <c r="F78" s="398">
        <f t="shared" si="52"/>
        <v>166.64641</v>
      </c>
      <c r="G78" s="660">
        <f t="shared" ref="G78:G96" si="58">F78*106.4/100</f>
        <v>177.31178024000002</v>
      </c>
      <c r="H78" s="660">
        <f t="shared" ref="H78:I78" si="59">G78*5.3%+G78</f>
        <v>186.70930459272003</v>
      </c>
      <c r="I78" s="660">
        <f t="shared" si="59"/>
        <v>196.60489773613421</v>
      </c>
      <c r="J78" s="660">
        <f t="shared" ref="J78:J96" si="60">I78-I78*0.08</f>
        <v>180.87650591724346</v>
      </c>
      <c r="K78" s="660">
        <f>I78*5.4%+I78</f>
        <v>207.22156221388545</v>
      </c>
      <c r="L78" s="714">
        <f t="shared" si="54"/>
        <v>198.96415650896782</v>
      </c>
      <c r="M78" s="714">
        <f t="shared" si="55"/>
        <v>208.91236433441622</v>
      </c>
      <c r="N78" s="714">
        <f t="shared" si="56"/>
        <v>219.98471964414028</v>
      </c>
      <c r="O78" s="895">
        <f t="shared" si="57"/>
        <v>230.76397090670315</v>
      </c>
      <c r="P78" s="919">
        <f t="shared" si="48"/>
        <v>240.91758562659808</v>
      </c>
      <c r="Q78" s="898">
        <f t="shared" si="49"/>
        <v>239.30223783025116</v>
      </c>
      <c r="R78" s="668">
        <f t="shared" si="50"/>
        <v>247.19921167864945</v>
      </c>
      <c r="S78" s="668">
        <f t="shared" si="51"/>
        <v>255.10958645236622</v>
      </c>
    </row>
    <row r="79" spans="1:19" ht="15" thickBot="1">
      <c r="A79" s="3"/>
      <c r="B79" s="73" t="s">
        <v>41</v>
      </c>
      <c r="C79" s="62" t="s">
        <v>42</v>
      </c>
      <c r="D79" s="63" t="s">
        <v>43</v>
      </c>
      <c r="E79" s="398">
        <v>103.93016</v>
      </c>
      <c r="F79" s="398">
        <f t="shared" si="52"/>
        <v>111.10134104000001</v>
      </c>
      <c r="G79" s="660">
        <f t="shared" si="58"/>
        <v>118.21182686656002</v>
      </c>
      <c r="H79" s="660">
        <f t="shared" ref="H79:I79" si="61">G79*5.3%+G79</f>
        <v>124.47705369048769</v>
      </c>
      <c r="I79" s="660">
        <f t="shared" si="61"/>
        <v>131.07433753608353</v>
      </c>
      <c r="J79" s="660">
        <f t="shared" si="60"/>
        <v>120.58839053319684</v>
      </c>
      <c r="K79" s="660">
        <f>I79*5.4%+I79</f>
        <v>138.15235176303204</v>
      </c>
      <c r="L79" s="714">
        <f t="shared" si="54"/>
        <v>132.64722958651652</v>
      </c>
      <c r="M79" s="714">
        <f t="shared" si="55"/>
        <v>139.27959106584234</v>
      </c>
      <c r="N79" s="714">
        <f t="shared" si="56"/>
        <v>146.66140939233199</v>
      </c>
      <c r="O79" s="895">
        <f t="shared" si="57"/>
        <v>153.84781845255625</v>
      </c>
      <c r="P79" s="919">
        <f t="shared" si="48"/>
        <v>160.61712246446874</v>
      </c>
      <c r="Q79" s="898">
        <f t="shared" si="49"/>
        <v>159.54018773530083</v>
      </c>
      <c r="R79" s="668">
        <f t="shared" si="50"/>
        <v>164.80501393056576</v>
      </c>
      <c r="S79" s="668">
        <f t="shared" si="51"/>
        <v>170.07877437634386</v>
      </c>
    </row>
    <row r="80" spans="1:19" ht="15" thickBot="1">
      <c r="A80" s="3"/>
      <c r="B80" s="67" t="s">
        <v>44</v>
      </c>
      <c r="C80" s="40"/>
      <c r="D80" s="41" t="s">
        <v>36</v>
      </c>
      <c r="E80" s="398">
        <v>0</v>
      </c>
      <c r="F80" s="398">
        <f t="shared" si="52"/>
        <v>0</v>
      </c>
      <c r="G80" s="660"/>
      <c r="H80" s="660"/>
      <c r="I80" s="660"/>
      <c r="J80" s="660">
        <f t="shared" si="60"/>
        <v>0</v>
      </c>
      <c r="K80" s="660"/>
      <c r="L80" s="714">
        <f t="shared" si="54"/>
        <v>0</v>
      </c>
      <c r="M80" s="714"/>
      <c r="N80" s="714">
        <f t="shared" si="56"/>
        <v>0</v>
      </c>
      <c r="O80" s="895">
        <f t="shared" si="57"/>
        <v>0</v>
      </c>
      <c r="P80" s="919">
        <f t="shared" si="48"/>
        <v>0</v>
      </c>
      <c r="Q80" s="898">
        <f t="shared" si="49"/>
        <v>0</v>
      </c>
      <c r="R80" s="668">
        <f t="shared" si="50"/>
        <v>0</v>
      </c>
      <c r="S80" s="668">
        <f t="shared" si="51"/>
        <v>0</v>
      </c>
    </row>
    <row r="81" spans="1:19" ht="15" thickBot="1">
      <c r="A81" s="3"/>
      <c r="B81" s="32" t="s">
        <v>44</v>
      </c>
      <c r="C81" s="37" t="s">
        <v>45</v>
      </c>
      <c r="D81" s="63"/>
      <c r="E81" s="398">
        <v>277.14359999999999</v>
      </c>
      <c r="F81" s="398">
        <f t="shared" si="52"/>
        <v>296.26650840000002</v>
      </c>
      <c r="G81" s="660">
        <f t="shared" si="58"/>
        <v>315.22756493760005</v>
      </c>
      <c r="H81" s="660">
        <f t="shared" ref="H81:I81" si="62">G81*5.3%+G81</f>
        <v>331.93462587929287</v>
      </c>
      <c r="I81" s="660">
        <f t="shared" si="62"/>
        <v>349.52716105089542</v>
      </c>
      <c r="J81" s="660">
        <f t="shared" si="60"/>
        <v>321.56498816682381</v>
      </c>
      <c r="K81" s="660">
        <f>I81*5.4%+I81</f>
        <v>368.40162774764377</v>
      </c>
      <c r="L81" s="714">
        <f t="shared" si="54"/>
        <v>353.72148698350617</v>
      </c>
      <c r="M81" s="714">
        <f>L81*5%+L81</f>
        <v>371.4075613326815</v>
      </c>
      <c r="N81" s="714">
        <f t="shared" si="56"/>
        <v>391.09216208331361</v>
      </c>
      <c r="O81" s="895">
        <f t="shared" si="57"/>
        <v>410.25567802539598</v>
      </c>
      <c r="P81" s="919">
        <f t="shared" si="48"/>
        <v>428.3069278585134</v>
      </c>
      <c r="Q81" s="898">
        <f t="shared" si="49"/>
        <v>425.43513811233561</v>
      </c>
      <c r="R81" s="668">
        <f t="shared" si="50"/>
        <v>439.47449767004269</v>
      </c>
      <c r="S81" s="668">
        <f t="shared" si="51"/>
        <v>453.53768159548406</v>
      </c>
    </row>
    <row r="82" spans="1:19" ht="15" thickBot="1">
      <c r="A82" s="3"/>
      <c r="B82" s="82"/>
      <c r="C82" s="74" t="s">
        <v>46</v>
      </c>
      <c r="D82" s="83" t="s">
        <v>47</v>
      </c>
      <c r="E82" s="398">
        <v>346.42688000000004</v>
      </c>
      <c r="F82" s="398">
        <f t="shared" si="52"/>
        <v>370.33033472000005</v>
      </c>
      <c r="G82" s="660">
        <f t="shared" si="58"/>
        <v>394.03147614208007</v>
      </c>
      <c r="H82" s="660">
        <f t="shared" ref="H82:I82" si="63">G82*5.3%+G82</f>
        <v>414.91514437761032</v>
      </c>
      <c r="I82" s="660">
        <f t="shared" si="63"/>
        <v>436.90564702962365</v>
      </c>
      <c r="J82" s="660">
        <f t="shared" si="60"/>
        <v>401.95319526725376</v>
      </c>
      <c r="K82" s="660">
        <f>I82*5.4%+I82</f>
        <v>460.49855196922334</v>
      </c>
      <c r="L82" s="714">
        <f t="shared" si="54"/>
        <v>442.14851479397913</v>
      </c>
      <c r="M82" s="714">
        <f>L82*5%+L82</f>
        <v>464.25594053367809</v>
      </c>
      <c r="N82" s="714">
        <f t="shared" si="56"/>
        <v>488.86150538196301</v>
      </c>
      <c r="O82" s="895">
        <f t="shared" si="57"/>
        <v>512.81571914567917</v>
      </c>
      <c r="P82" s="919">
        <f t="shared" si="48"/>
        <v>535.37961078808905</v>
      </c>
      <c r="Q82" s="898">
        <f t="shared" si="49"/>
        <v>531.78990075406932</v>
      </c>
      <c r="R82" s="668">
        <f t="shared" si="50"/>
        <v>549.33896747895358</v>
      </c>
      <c r="S82" s="668">
        <f t="shared" si="51"/>
        <v>566.91781443828006</v>
      </c>
    </row>
    <row r="83" spans="1:19" ht="15" thickBot="1">
      <c r="A83" s="3"/>
      <c r="B83" s="26" t="s">
        <v>48</v>
      </c>
      <c r="C83" s="59" t="s">
        <v>45</v>
      </c>
      <c r="D83" s="60"/>
      <c r="E83" s="398">
        <v>277.14359999999999</v>
      </c>
      <c r="F83" s="398">
        <f t="shared" si="52"/>
        <v>296.26650840000002</v>
      </c>
      <c r="G83" s="660">
        <f t="shared" si="58"/>
        <v>315.22756493760005</v>
      </c>
      <c r="H83" s="660">
        <f t="shared" ref="H83:I83" si="64">G83*5.3%+G83</f>
        <v>331.93462587929287</v>
      </c>
      <c r="I83" s="660">
        <f t="shared" si="64"/>
        <v>349.52716105089542</v>
      </c>
      <c r="J83" s="660">
        <f t="shared" si="60"/>
        <v>321.56498816682381</v>
      </c>
      <c r="K83" s="660">
        <f>I83*5.4%+I83</f>
        <v>368.40162774764377</v>
      </c>
      <c r="L83" s="714">
        <f t="shared" si="54"/>
        <v>353.72148698350617</v>
      </c>
      <c r="M83" s="714">
        <f>L83*5%+L83</f>
        <v>371.4075613326815</v>
      </c>
      <c r="N83" s="714">
        <f t="shared" si="56"/>
        <v>391.09216208331361</v>
      </c>
      <c r="O83" s="895">
        <f t="shared" si="57"/>
        <v>410.25567802539598</v>
      </c>
      <c r="P83" s="919">
        <f t="shared" si="48"/>
        <v>428.3069278585134</v>
      </c>
      <c r="Q83" s="898">
        <f t="shared" si="49"/>
        <v>425.43513811233561</v>
      </c>
      <c r="R83" s="668">
        <f t="shared" si="50"/>
        <v>439.47449767004269</v>
      </c>
      <c r="S83" s="668">
        <f t="shared" si="51"/>
        <v>453.53768159548406</v>
      </c>
    </row>
    <row r="84" spans="1:19" ht="15" thickBot="1">
      <c r="A84" s="3"/>
      <c r="B84" s="73" t="s">
        <v>49</v>
      </c>
      <c r="C84" s="74" t="s">
        <v>46</v>
      </c>
      <c r="D84" s="83" t="s">
        <v>47</v>
      </c>
      <c r="E84" s="398">
        <v>346.42688000000004</v>
      </c>
      <c r="F84" s="398">
        <f t="shared" si="52"/>
        <v>370.33033472000005</v>
      </c>
      <c r="G84" s="660">
        <f t="shared" si="58"/>
        <v>394.03147614208007</v>
      </c>
      <c r="H84" s="660">
        <f t="shared" ref="H84:I84" si="65">G84*5.3%+G84</f>
        <v>414.91514437761032</v>
      </c>
      <c r="I84" s="660">
        <f t="shared" si="65"/>
        <v>436.90564702962365</v>
      </c>
      <c r="J84" s="660">
        <f t="shared" si="60"/>
        <v>401.95319526725376</v>
      </c>
      <c r="K84" s="660">
        <f>I84*5.4%+I84</f>
        <v>460.49855196922334</v>
      </c>
      <c r="L84" s="714">
        <f t="shared" si="54"/>
        <v>442.14851479397913</v>
      </c>
      <c r="M84" s="714">
        <f>L84*5%+L84</f>
        <v>464.25594053367809</v>
      </c>
      <c r="N84" s="714">
        <f t="shared" si="56"/>
        <v>488.86150538196301</v>
      </c>
      <c r="O84" s="895">
        <f t="shared" si="57"/>
        <v>512.81571914567917</v>
      </c>
      <c r="P84" s="919">
        <f t="shared" si="48"/>
        <v>535.37961078808905</v>
      </c>
      <c r="Q84" s="898">
        <f t="shared" si="49"/>
        <v>531.78990075406932</v>
      </c>
      <c r="R84" s="668">
        <f t="shared" si="50"/>
        <v>549.33896747895358</v>
      </c>
      <c r="S84" s="668">
        <f t="shared" si="51"/>
        <v>566.91781443828006</v>
      </c>
    </row>
    <row r="85" spans="1:19" ht="15" thickBot="1">
      <c r="A85" s="3"/>
      <c r="B85" s="67" t="s">
        <v>18</v>
      </c>
      <c r="C85" s="40"/>
      <c r="D85" s="41" t="s">
        <v>36</v>
      </c>
      <c r="E85" s="398">
        <v>0</v>
      </c>
      <c r="F85" s="398">
        <f t="shared" si="52"/>
        <v>0</v>
      </c>
      <c r="G85" s="660"/>
      <c r="H85" s="660"/>
      <c r="I85" s="660"/>
      <c r="J85" s="660">
        <f t="shared" si="60"/>
        <v>0</v>
      </c>
      <c r="K85" s="660"/>
      <c r="L85" s="714">
        <f t="shared" si="54"/>
        <v>0</v>
      </c>
      <c r="M85" s="714"/>
      <c r="N85" s="714">
        <f t="shared" si="56"/>
        <v>0</v>
      </c>
      <c r="O85" s="895">
        <f t="shared" si="57"/>
        <v>0</v>
      </c>
      <c r="P85" s="919">
        <f t="shared" si="48"/>
        <v>0</v>
      </c>
      <c r="Q85" s="898">
        <f t="shared" si="49"/>
        <v>0</v>
      </c>
      <c r="R85" s="668">
        <f t="shared" si="50"/>
        <v>0</v>
      </c>
      <c r="S85" s="668">
        <f t="shared" si="51"/>
        <v>0</v>
      </c>
    </row>
    <row r="86" spans="1:19" ht="15" thickBot="1">
      <c r="A86" s="3"/>
      <c r="B86" s="73" t="s">
        <v>18</v>
      </c>
      <c r="C86" s="74" t="s">
        <v>50</v>
      </c>
      <c r="D86" s="75"/>
      <c r="E86" s="398">
        <v>259.82015999999999</v>
      </c>
      <c r="F86" s="398">
        <f t="shared" si="52"/>
        <v>277.74775104000003</v>
      </c>
      <c r="G86" s="660">
        <f t="shared" si="58"/>
        <v>295.52360710656006</v>
      </c>
      <c r="H86" s="660">
        <f t="shared" ref="H86:I87" si="66">G86*5.3%+G86</f>
        <v>311.18635828320777</v>
      </c>
      <c r="I86" s="660">
        <f t="shared" si="66"/>
        <v>327.6792352722178</v>
      </c>
      <c r="J86" s="660">
        <f t="shared" si="60"/>
        <v>301.46489645044039</v>
      </c>
      <c r="K86" s="660">
        <f t="shared" ref="K86:K96" si="67">I86*5.4%+I86</f>
        <v>345.37391397691755</v>
      </c>
      <c r="L86" s="714">
        <f t="shared" si="54"/>
        <v>331.61138609548442</v>
      </c>
      <c r="M86" s="714">
        <f t="shared" ref="M86:M96" si="68">L86*5%+L86</f>
        <v>348.19195540025862</v>
      </c>
      <c r="N86" s="714">
        <f t="shared" si="56"/>
        <v>366.6461290364723</v>
      </c>
      <c r="O86" s="895">
        <f t="shared" si="57"/>
        <v>384.61178935925943</v>
      </c>
      <c r="P86" s="919">
        <f t="shared" si="48"/>
        <v>401.53470809106688</v>
      </c>
      <c r="Q86" s="898">
        <f t="shared" si="49"/>
        <v>398.84242556555205</v>
      </c>
      <c r="R86" s="668">
        <f t="shared" si="50"/>
        <v>412.00422560921527</v>
      </c>
      <c r="S86" s="668">
        <f t="shared" si="51"/>
        <v>425.18836082871013</v>
      </c>
    </row>
    <row r="87" spans="1:19" ht="15" thickBot="1">
      <c r="A87" s="3"/>
      <c r="B87" s="67" t="s">
        <v>16</v>
      </c>
      <c r="C87" s="40"/>
      <c r="D87" s="41" t="s">
        <v>36</v>
      </c>
      <c r="E87" s="398">
        <v>0</v>
      </c>
      <c r="F87" s="398">
        <f t="shared" si="52"/>
        <v>0</v>
      </c>
      <c r="G87" s="661">
        <v>4.34</v>
      </c>
      <c r="H87" s="661">
        <f>G87*106.8/100</f>
        <v>4.6351199999999997</v>
      </c>
      <c r="I87" s="660">
        <f t="shared" si="66"/>
        <v>4.8807813599999994</v>
      </c>
      <c r="J87" s="660">
        <f t="shared" si="60"/>
        <v>4.4903188511999996</v>
      </c>
      <c r="K87" s="660">
        <f t="shared" si="67"/>
        <v>5.1443435534399997</v>
      </c>
      <c r="L87" s="714">
        <f t="shared" si="54"/>
        <v>4.9393507363199998</v>
      </c>
      <c r="M87" s="714">
        <f t="shared" si="68"/>
        <v>5.186318273136</v>
      </c>
      <c r="N87" s="714">
        <f t="shared" si="56"/>
        <v>5.4611931416122079</v>
      </c>
      <c r="O87" s="895">
        <f t="shared" si="57"/>
        <v>5.7287916055512058</v>
      </c>
      <c r="P87" s="919">
        <f t="shared" si="48"/>
        <v>5.9808584361954589</v>
      </c>
      <c r="Q87" s="898">
        <f t="shared" si="49"/>
        <v>5.9407568949566008</v>
      </c>
      <c r="R87" s="668">
        <f t="shared" si="50"/>
        <v>6.1368018724901683</v>
      </c>
      <c r="S87" s="668">
        <f t="shared" si="51"/>
        <v>6.3331795324098534</v>
      </c>
    </row>
    <row r="88" spans="1:19" ht="15" thickBot="1">
      <c r="A88" s="3"/>
      <c r="B88" s="26" t="s">
        <v>53</v>
      </c>
      <c r="C88" s="59" t="s">
        <v>54</v>
      </c>
      <c r="D88" s="60"/>
      <c r="E88" s="398">
        <v>277.14359999999999</v>
      </c>
      <c r="F88" s="398">
        <f t="shared" si="52"/>
        <v>296.26650840000002</v>
      </c>
      <c r="G88" s="660">
        <f t="shared" si="58"/>
        <v>315.22756493760005</v>
      </c>
      <c r="H88" s="660">
        <f t="shared" ref="H88:I88" si="69">G88*5.3%+G88</f>
        <v>331.93462587929287</v>
      </c>
      <c r="I88" s="660">
        <f t="shared" si="69"/>
        <v>349.52716105089542</v>
      </c>
      <c r="J88" s="660">
        <f t="shared" si="60"/>
        <v>321.56498816682381</v>
      </c>
      <c r="K88" s="660">
        <f t="shared" si="67"/>
        <v>368.40162774764377</v>
      </c>
      <c r="L88" s="714">
        <f t="shared" si="54"/>
        <v>353.72148698350617</v>
      </c>
      <c r="M88" s="714">
        <f t="shared" si="68"/>
        <v>371.4075613326815</v>
      </c>
      <c r="N88" s="714">
        <f t="shared" si="56"/>
        <v>391.09216208331361</v>
      </c>
      <c r="O88" s="895">
        <f t="shared" si="57"/>
        <v>410.25567802539598</v>
      </c>
      <c r="P88" s="919">
        <f t="shared" si="48"/>
        <v>428.3069278585134</v>
      </c>
      <c r="Q88" s="898">
        <f t="shared" si="49"/>
        <v>425.43513811233561</v>
      </c>
      <c r="R88" s="668">
        <f t="shared" si="50"/>
        <v>439.47449767004269</v>
      </c>
      <c r="S88" s="668">
        <f t="shared" si="51"/>
        <v>453.53768159548406</v>
      </c>
    </row>
    <row r="89" spans="1:19" ht="15" thickBot="1">
      <c r="A89" s="3"/>
      <c r="B89" s="91" t="s">
        <v>55</v>
      </c>
      <c r="C89" s="74" t="s">
        <v>46</v>
      </c>
      <c r="D89" s="75"/>
      <c r="E89" s="398">
        <v>155.88999999999999</v>
      </c>
      <c r="F89" s="398">
        <f t="shared" si="52"/>
        <v>166.64641</v>
      </c>
      <c r="G89" s="660">
        <f t="shared" si="58"/>
        <v>177.31178024000002</v>
      </c>
      <c r="H89" s="660">
        <f t="shared" ref="H89:I89" si="70">G89*5.3%+G89</f>
        <v>186.70930459272003</v>
      </c>
      <c r="I89" s="660">
        <f t="shared" si="70"/>
        <v>196.60489773613421</v>
      </c>
      <c r="J89" s="660">
        <f t="shared" si="60"/>
        <v>180.87650591724346</v>
      </c>
      <c r="K89" s="660">
        <f t="shared" si="67"/>
        <v>207.22156221388545</v>
      </c>
      <c r="L89" s="714">
        <f t="shared" si="54"/>
        <v>198.96415650896782</v>
      </c>
      <c r="M89" s="714">
        <f t="shared" si="68"/>
        <v>208.91236433441622</v>
      </c>
      <c r="N89" s="714">
        <f t="shared" si="56"/>
        <v>219.98471964414028</v>
      </c>
      <c r="O89" s="895">
        <f t="shared" si="57"/>
        <v>230.76397090670315</v>
      </c>
      <c r="P89" s="919">
        <f t="shared" si="48"/>
        <v>240.91758562659808</v>
      </c>
      <c r="Q89" s="898">
        <f t="shared" si="49"/>
        <v>239.30223783025116</v>
      </c>
      <c r="R89" s="668">
        <f t="shared" si="50"/>
        <v>247.19921167864945</v>
      </c>
      <c r="S89" s="668">
        <f t="shared" si="51"/>
        <v>255.10958645236622</v>
      </c>
    </row>
    <row r="90" spans="1:19" ht="15" thickBot="1">
      <c r="A90" s="3"/>
      <c r="B90" s="26" t="s">
        <v>56</v>
      </c>
      <c r="C90" s="59" t="s">
        <v>57</v>
      </c>
      <c r="D90" s="60"/>
      <c r="E90" s="398">
        <v>32.770960000000002</v>
      </c>
      <c r="F90" s="398">
        <f t="shared" si="52"/>
        <v>35.032156240000006</v>
      </c>
      <c r="G90" s="660">
        <f t="shared" si="58"/>
        <v>37.274214239360006</v>
      </c>
      <c r="H90" s="660">
        <f t="shared" ref="H90:I90" si="71">G90*5.3%+G90</f>
        <v>39.249747594046084</v>
      </c>
      <c r="I90" s="660">
        <f t="shared" si="71"/>
        <v>41.329984216530526</v>
      </c>
      <c r="J90" s="660">
        <f t="shared" si="60"/>
        <v>38.023585479208087</v>
      </c>
      <c r="K90" s="660">
        <f t="shared" si="67"/>
        <v>43.561803364223174</v>
      </c>
      <c r="L90" s="714">
        <f t="shared" si="54"/>
        <v>41.825944027128898</v>
      </c>
      <c r="M90" s="714">
        <f t="shared" si="68"/>
        <v>43.917241228485345</v>
      </c>
      <c r="N90" s="714">
        <f t="shared" si="56"/>
        <v>46.244855013595071</v>
      </c>
      <c r="O90" s="895">
        <f t="shared" si="57"/>
        <v>48.510852909261232</v>
      </c>
      <c r="P90" s="919">
        <f t="shared" si="48"/>
        <v>50.645330437268726</v>
      </c>
      <c r="Q90" s="898">
        <f t="shared" si="49"/>
        <v>50.305754466903899</v>
      </c>
      <c r="R90" s="668">
        <f t="shared" si="50"/>
        <v>51.965844364311728</v>
      </c>
      <c r="S90" s="668">
        <f t="shared" si="51"/>
        <v>53.6287513839697</v>
      </c>
    </row>
    <row r="91" spans="1:19" ht="15" thickBot="1">
      <c r="A91" s="3"/>
      <c r="B91" s="42"/>
      <c r="C91" s="62" t="s">
        <v>58</v>
      </c>
      <c r="D91" s="63"/>
      <c r="E91" s="398">
        <v>8.1953600000000009</v>
      </c>
      <c r="F91" s="398">
        <f t="shared" si="52"/>
        <v>8.7608398400000009</v>
      </c>
      <c r="G91" s="660">
        <f t="shared" si="58"/>
        <v>9.3215335897600013</v>
      </c>
      <c r="H91" s="660">
        <f t="shared" ref="H91:I91" si="72">G91*5.3%+G91</f>
        <v>9.8155748700172811</v>
      </c>
      <c r="I91" s="660">
        <f t="shared" si="72"/>
        <v>10.335800338128196</v>
      </c>
      <c r="J91" s="660">
        <f t="shared" si="60"/>
        <v>9.5089363110779406</v>
      </c>
      <c r="K91" s="660">
        <f t="shared" si="67"/>
        <v>10.893933556387118</v>
      </c>
      <c r="L91" s="714">
        <f t="shared" si="54"/>
        <v>10.459829942185735</v>
      </c>
      <c r="M91" s="714">
        <f t="shared" si="68"/>
        <v>10.982821439295021</v>
      </c>
      <c r="N91" s="714">
        <f t="shared" si="56"/>
        <v>11.564910975577657</v>
      </c>
      <c r="O91" s="895">
        <f t="shared" si="57"/>
        <v>12.131591613380962</v>
      </c>
      <c r="P91" s="919">
        <f t="shared" si="48"/>
        <v>12.665381644369724</v>
      </c>
      <c r="Q91" s="898">
        <f t="shared" si="49"/>
        <v>12.580460503076058</v>
      </c>
      <c r="R91" s="668">
        <f t="shared" si="50"/>
        <v>12.995615699677568</v>
      </c>
      <c r="S91" s="668">
        <f t="shared" si="51"/>
        <v>13.41147540206725</v>
      </c>
    </row>
    <row r="92" spans="1:19" ht="15" thickBot="1">
      <c r="A92" s="3"/>
      <c r="B92" s="42"/>
      <c r="C92" s="62" t="s">
        <v>1256</v>
      </c>
      <c r="D92" s="63"/>
      <c r="E92" s="398">
        <v>590.66327999999999</v>
      </c>
      <c r="F92" s="398">
        <f t="shared" si="52"/>
        <v>631.41904632000001</v>
      </c>
      <c r="G92" s="660">
        <f t="shared" si="58"/>
        <v>671.82986528448009</v>
      </c>
      <c r="H92" s="660">
        <f t="shared" ref="H92:I92" si="73">G92*5.3%+G92</f>
        <v>707.43684814455753</v>
      </c>
      <c r="I92" s="660">
        <f t="shared" si="73"/>
        <v>744.93100109621912</v>
      </c>
      <c r="J92" s="660">
        <f t="shared" si="60"/>
        <v>685.33652100852157</v>
      </c>
      <c r="K92" s="660">
        <f t="shared" si="67"/>
        <v>785.15727515541494</v>
      </c>
      <c r="L92" s="714">
        <f t="shared" si="54"/>
        <v>753.8701731093737</v>
      </c>
      <c r="M92" s="714">
        <f t="shared" si="68"/>
        <v>791.56368176484239</v>
      </c>
      <c r="N92" s="714">
        <f t="shared" si="56"/>
        <v>833.51655689837901</v>
      </c>
      <c r="O92" s="895">
        <f t="shared" si="57"/>
        <v>874.3588681863996</v>
      </c>
      <c r="P92" s="919">
        <f t="shared" si="48"/>
        <v>912.83065838660116</v>
      </c>
      <c r="Q92" s="898">
        <f t="shared" si="49"/>
        <v>906.71014630929642</v>
      </c>
      <c r="R92" s="668">
        <f t="shared" si="50"/>
        <v>936.63158113750319</v>
      </c>
      <c r="S92" s="668">
        <f t="shared" si="51"/>
        <v>966.60379173390334</v>
      </c>
    </row>
    <row r="93" spans="1:19" ht="15" thickBot="1">
      <c r="A93" s="3"/>
      <c r="B93" s="43"/>
      <c r="C93" s="74" t="s">
        <v>60</v>
      </c>
      <c r="D93" s="75"/>
      <c r="E93" s="398">
        <v>889.80439999999987</v>
      </c>
      <c r="F93" s="398">
        <f t="shared" si="52"/>
        <v>951.20090359999983</v>
      </c>
      <c r="G93" s="660">
        <f t="shared" si="58"/>
        <v>1012.0777614303998</v>
      </c>
      <c r="H93" s="660">
        <f t="shared" ref="H93:I93" si="74">G93*5.3%+G93</f>
        <v>1065.717882786211</v>
      </c>
      <c r="I93" s="660">
        <f t="shared" si="74"/>
        <v>1122.2009305738802</v>
      </c>
      <c r="J93" s="660">
        <f t="shared" si="60"/>
        <v>1032.4248561279699</v>
      </c>
      <c r="K93" s="660">
        <f t="shared" si="67"/>
        <v>1182.7997808248697</v>
      </c>
      <c r="L93" s="714">
        <f t="shared" si="54"/>
        <v>1135.6673417407669</v>
      </c>
      <c r="M93" s="714">
        <f t="shared" si="68"/>
        <v>1192.4507088278053</v>
      </c>
      <c r="N93" s="714">
        <f t="shared" si="56"/>
        <v>1255.650596395679</v>
      </c>
      <c r="O93" s="895">
        <f t="shared" si="57"/>
        <v>1317.1774756190673</v>
      </c>
      <c r="P93" s="919">
        <f t="shared" si="48"/>
        <v>1375.1332845463062</v>
      </c>
      <c r="Q93" s="898">
        <f t="shared" si="49"/>
        <v>1365.9130422169728</v>
      </c>
      <c r="R93" s="668">
        <f t="shared" si="50"/>
        <v>1410.988172610133</v>
      </c>
      <c r="S93" s="668">
        <f t="shared" si="51"/>
        <v>1456.1397941336572</v>
      </c>
    </row>
    <row r="94" spans="1:19" ht="15" thickBot="1">
      <c r="A94" s="3"/>
      <c r="B94" s="92"/>
      <c r="C94" s="62" t="s">
        <v>61</v>
      </c>
      <c r="D94" s="63"/>
      <c r="E94" s="398">
        <v>8193.1068000000014</v>
      </c>
      <c r="F94" s="398">
        <f t="shared" si="52"/>
        <v>8758.431169200001</v>
      </c>
      <c r="G94" s="660">
        <f t="shared" si="58"/>
        <v>9318.9707640288016</v>
      </c>
      <c r="H94" s="660">
        <f t="shared" ref="H94:I94" si="75">G94*5.3%+G94</f>
        <v>9812.8762145223282</v>
      </c>
      <c r="I94" s="660">
        <f t="shared" si="75"/>
        <v>10332.958653892012</v>
      </c>
      <c r="J94" s="660">
        <f t="shared" si="60"/>
        <v>9506.321961580652</v>
      </c>
      <c r="K94" s="660">
        <f t="shared" si="67"/>
        <v>10890.938421202181</v>
      </c>
      <c r="L94" s="714">
        <f t="shared" si="54"/>
        <v>10456.954157738717</v>
      </c>
      <c r="M94" s="714">
        <f t="shared" si="68"/>
        <v>10979.801865625654</v>
      </c>
      <c r="N94" s="714">
        <f t="shared" si="56"/>
        <v>11561.731364503814</v>
      </c>
      <c r="O94" s="895">
        <f t="shared" si="57"/>
        <v>12128.2562013645</v>
      </c>
      <c r="P94" s="919">
        <f t="shared" si="48"/>
        <v>12661.899474224538</v>
      </c>
      <c r="Q94" s="898">
        <f t="shared" si="49"/>
        <v>12577.001680814987</v>
      </c>
      <c r="R94" s="668">
        <f t="shared" si="50"/>
        <v>12992.042736281881</v>
      </c>
      <c r="S94" s="668">
        <f t="shared" si="51"/>
        <v>13407.7881038429</v>
      </c>
    </row>
    <row r="95" spans="1:19" ht="15" thickBot="1">
      <c r="A95" s="3"/>
      <c r="B95" s="32"/>
      <c r="C95" s="62" t="s">
        <v>62</v>
      </c>
      <c r="D95" s="63"/>
      <c r="E95" s="398">
        <v>9603.0755199999985</v>
      </c>
      <c r="F95" s="398">
        <f t="shared" si="52"/>
        <v>10265.687730879999</v>
      </c>
      <c r="G95" s="660">
        <f t="shared" si="58"/>
        <v>10922.691745656319</v>
      </c>
      <c r="H95" s="660">
        <f t="shared" ref="H95:I95" si="76">G95*5.3%+G95</f>
        <v>11501.594408176104</v>
      </c>
      <c r="I95" s="660">
        <f t="shared" si="76"/>
        <v>12111.178911809438</v>
      </c>
      <c r="J95" s="660">
        <f t="shared" si="60"/>
        <v>11142.284598864684</v>
      </c>
      <c r="K95" s="660">
        <f t="shared" si="67"/>
        <v>12765.182573047148</v>
      </c>
      <c r="L95" s="714">
        <f t="shared" si="54"/>
        <v>12256.513058751152</v>
      </c>
      <c r="M95" s="714">
        <f t="shared" si="68"/>
        <v>12869.33871168871</v>
      </c>
      <c r="N95" s="714">
        <f t="shared" si="56"/>
        <v>13551.413663408212</v>
      </c>
      <c r="O95" s="895">
        <f t="shared" si="57"/>
        <v>14215.432932915213</v>
      </c>
      <c r="P95" s="919">
        <f t="shared" si="48"/>
        <v>14840.911981963483</v>
      </c>
      <c r="Q95" s="898">
        <f t="shared" si="49"/>
        <v>14741.403951433076</v>
      </c>
      <c r="R95" s="668">
        <f t="shared" si="50"/>
        <v>15227.870281830368</v>
      </c>
      <c r="S95" s="668">
        <f t="shared" si="51"/>
        <v>15715.162130848939</v>
      </c>
    </row>
    <row r="96" spans="1:19" ht="15" thickBot="1">
      <c r="A96" s="3"/>
      <c r="B96" s="92"/>
      <c r="C96" s="62" t="s">
        <v>63</v>
      </c>
      <c r="D96" s="63"/>
      <c r="E96" s="398">
        <v>381.07375999999999</v>
      </c>
      <c r="F96" s="398">
        <f t="shared" si="52"/>
        <v>407.36784943999999</v>
      </c>
      <c r="G96" s="660">
        <f t="shared" si="58"/>
        <v>433.43939180416004</v>
      </c>
      <c r="H96" s="660">
        <f t="shared" ref="H96:I96" si="77">G96*5.3%+G96</f>
        <v>456.41167956978052</v>
      </c>
      <c r="I96" s="660">
        <f t="shared" si="77"/>
        <v>480.60149858697889</v>
      </c>
      <c r="J96" s="660">
        <f t="shared" si="60"/>
        <v>442.1533787000206</v>
      </c>
      <c r="K96" s="660">
        <f t="shared" si="67"/>
        <v>506.55397951067573</v>
      </c>
      <c r="L96" s="714">
        <f t="shared" si="54"/>
        <v>486.36871657002268</v>
      </c>
      <c r="M96" s="714">
        <f t="shared" si="68"/>
        <v>510.68715239852384</v>
      </c>
      <c r="N96" s="714">
        <f t="shared" si="56"/>
        <v>537.75357147564557</v>
      </c>
      <c r="O96" s="895">
        <f t="shared" si="57"/>
        <v>564.10349647795215</v>
      </c>
      <c r="P96" s="919">
        <f t="shared" si="48"/>
        <v>588.924050322982</v>
      </c>
      <c r="Q96" s="898">
        <f t="shared" si="49"/>
        <v>584.97532584763633</v>
      </c>
      <c r="R96" s="668">
        <f t="shared" si="50"/>
        <v>604.27951160060832</v>
      </c>
      <c r="S96" s="668">
        <f t="shared" si="51"/>
        <v>623.6164559718278</v>
      </c>
    </row>
    <row r="97" spans="1:19" ht="15" thickBot="1">
      <c r="A97" s="3"/>
      <c r="B97" s="20" t="s">
        <v>325</v>
      </c>
      <c r="C97" s="21"/>
      <c r="D97" s="48"/>
      <c r="E97" s="389" t="s">
        <v>65</v>
      </c>
      <c r="F97" s="389" t="s">
        <v>65</v>
      </c>
      <c r="G97" s="662" t="s">
        <v>65</v>
      </c>
      <c r="H97" s="662" t="s">
        <v>65</v>
      </c>
      <c r="I97" s="662" t="s">
        <v>65</v>
      </c>
      <c r="J97" s="663"/>
      <c r="K97" s="651" t="str">
        <f>I97</f>
        <v>Prime plus 1%</v>
      </c>
      <c r="L97" s="651" t="str">
        <f>K97</f>
        <v>Prime plus 1%</v>
      </c>
      <c r="M97" s="651" t="str">
        <f>L97</f>
        <v>Prime plus 1%</v>
      </c>
      <c r="N97" s="651"/>
      <c r="O97" s="684"/>
      <c r="P97" s="918"/>
      <c r="Q97" s="898"/>
      <c r="R97" s="668"/>
      <c r="S97" s="668"/>
    </row>
    <row r="98" spans="1:19" ht="15" thickBot="1">
      <c r="A98" s="3"/>
      <c r="B98" s="61" t="s">
        <v>29</v>
      </c>
      <c r="D98" s="63"/>
      <c r="K98" s="651"/>
      <c r="L98" s="651"/>
      <c r="M98" s="651"/>
      <c r="N98" s="651"/>
      <c r="O98" s="684"/>
      <c r="P98" s="918"/>
      <c r="Q98" s="898"/>
      <c r="R98" s="668"/>
      <c r="S98" s="668"/>
    </row>
    <row r="99" spans="1:19" ht="31" thickBot="1">
      <c r="A99" s="3"/>
      <c r="B99" s="14" t="s">
        <v>66</v>
      </c>
      <c r="C99" s="15"/>
      <c r="D99" s="16"/>
      <c r="E99" s="12" t="s">
        <v>299</v>
      </c>
      <c r="F99" s="12" t="s">
        <v>300</v>
      </c>
      <c r="G99" s="644" t="s">
        <v>301</v>
      </c>
      <c r="H99" s="644" t="s">
        <v>302</v>
      </c>
      <c r="I99" s="644" t="s">
        <v>303</v>
      </c>
      <c r="J99" s="645" t="s">
        <v>304</v>
      </c>
      <c r="K99" s="644" t="s">
        <v>326</v>
      </c>
      <c r="L99" s="693" t="s">
        <v>305</v>
      </c>
      <c r="M99" s="694" t="s">
        <v>306</v>
      </c>
      <c r="N99" s="693" t="s">
        <v>308</v>
      </c>
      <c r="O99" s="700" t="s">
        <v>308</v>
      </c>
      <c r="P99" s="701" t="s">
        <v>309</v>
      </c>
      <c r="Q99" s="940" t="s">
        <v>310</v>
      </c>
      <c r="R99" s="872" t="s">
        <v>1248</v>
      </c>
      <c r="S99" s="872" t="s">
        <v>1251</v>
      </c>
    </row>
    <row r="100" spans="1:19" ht="15" thickBot="1">
      <c r="A100" s="3"/>
      <c r="B100" s="26" t="s">
        <v>67</v>
      </c>
      <c r="C100" s="40" t="s">
        <v>68</v>
      </c>
      <c r="D100" s="95"/>
      <c r="E100" s="390" t="s">
        <v>267</v>
      </c>
      <c r="F100" s="390" t="s">
        <v>267</v>
      </c>
      <c r="G100" s="664" t="s">
        <v>267</v>
      </c>
      <c r="H100" s="664" t="s">
        <v>267</v>
      </c>
      <c r="I100" s="664" t="s">
        <v>267</v>
      </c>
      <c r="J100" s="664" t="s">
        <v>267</v>
      </c>
      <c r="K100" s="664" t="s">
        <v>267</v>
      </c>
      <c r="L100" s="712" t="s">
        <v>267</v>
      </c>
      <c r="M100" s="712" t="s">
        <v>327</v>
      </c>
      <c r="N100" s="712" t="s">
        <v>267</v>
      </c>
      <c r="O100" s="684" t="s">
        <v>267</v>
      </c>
      <c r="P100" s="918" t="s">
        <v>267</v>
      </c>
      <c r="Q100" s="898" t="s">
        <v>267</v>
      </c>
      <c r="R100" s="668" t="s">
        <v>267</v>
      </c>
      <c r="S100" s="668" t="s">
        <v>267</v>
      </c>
    </row>
    <row r="101" spans="1:19" ht="15" thickBot="1">
      <c r="A101" s="3"/>
      <c r="B101" s="32" t="s">
        <v>69</v>
      </c>
      <c r="C101" s="33" t="s">
        <v>70</v>
      </c>
      <c r="D101" s="98"/>
      <c r="E101" s="391" t="s">
        <v>267</v>
      </c>
      <c r="F101" s="391" t="s">
        <v>267</v>
      </c>
      <c r="G101" s="666" t="s">
        <v>267</v>
      </c>
      <c r="H101" s="666" t="s">
        <v>267</v>
      </c>
      <c r="I101" s="666" t="s">
        <v>267</v>
      </c>
      <c r="J101" s="664" t="s">
        <v>267</v>
      </c>
      <c r="K101" s="666" t="s">
        <v>267</v>
      </c>
      <c r="L101" s="712" t="s">
        <v>267</v>
      </c>
      <c r="M101" s="712" t="s">
        <v>327</v>
      </c>
      <c r="N101" s="712" t="s">
        <v>267</v>
      </c>
      <c r="O101" s="684" t="s">
        <v>267</v>
      </c>
      <c r="P101" s="918" t="s">
        <v>267</v>
      </c>
      <c r="Q101" s="898" t="s">
        <v>267</v>
      </c>
      <c r="R101" s="668" t="s">
        <v>267</v>
      </c>
      <c r="S101" s="668" t="s">
        <v>267</v>
      </c>
    </row>
    <row r="102" spans="1:19" ht="15" thickBot="1">
      <c r="A102" s="3"/>
      <c r="B102" s="42"/>
      <c r="C102" s="37" t="s">
        <v>71</v>
      </c>
      <c r="D102" s="101"/>
      <c r="E102" s="392" t="s">
        <v>267</v>
      </c>
      <c r="F102" s="392" t="s">
        <v>267</v>
      </c>
      <c r="G102" s="667" t="s">
        <v>267</v>
      </c>
      <c r="H102" s="667" t="s">
        <v>267</v>
      </c>
      <c r="I102" s="667" t="s">
        <v>267</v>
      </c>
      <c r="J102" s="664" t="s">
        <v>267</v>
      </c>
      <c r="K102" s="667" t="s">
        <v>267</v>
      </c>
      <c r="L102" s="712" t="s">
        <v>267</v>
      </c>
      <c r="M102" s="712" t="s">
        <v>327</v>
      </c>
      <c r="N102" s="712" t="s">
        <v>267</v>
      </c>
      <c r="O102" s="684" t="s">
        <v>267</v>
      </c>
      <c r="P102" s="918" t="s">
        <v>267</v>
      </c>
      <c r="Q102" s="898" t="s">
        <v>267</v>
      </c>
      <c r="R102" s="668" t="s">
        <v>267</v>
      </c>
      <c r="S102" s="668" t="s">
        <v>267</v>
      </c>
    </row>
    <row r="103" spans="1:19" ht="15" thickBot="1">
      <c r="A103" s="3"/>
      <c r="B103" s="43"/>
      <c r="C103" s="104" t="s">
        <v>72</v>
      </c>
      <c r="D103" s="105"/>
      <c r="E103" s="392" t="s">
        <v>267</v>
      </c>
      <c r="F103" s="392" t="s">
        <v>267</v>
      </c>
      <c r="G103" s="667" t="s">
        <v>267</v>
      </c>
      <c r="H103" s="667" t="s">
        <v>267</v>
      </c>
      <c r="I103" s="667" t="s">
        <v>267</v>
      </c>
      <c r="J103" s="664" t="s">
        <v>267</v>
      </c>
      <c r="K103" s="667" t="s">
        <v>267</v>
      </c>
      <c r="L103" s="712" t="s">
        <v>267</v>
      </c>
      <c r="M103" s="712" t="s">
        <v>327</v>
      </c>
      <c r="N103" s="712" t="s">
        <v>267</v>
      </c>
      <c r="O103" s="684" t="s">
        <v>267</v>
      </c>
      <c r="P103" s="918" t="s">
        <v>267</v>
      </c>
      <c r="Q103" s="898" t="s">
        <v>267</v>
      </c>
      <c r="R103" s="668" t="s">
        <v>267</v>
      </c>
      <c r="S103" s="668" t="s">
        <v>267</v>
      </c>
    </row>
    <row r="104" spans="1:19" ht="15" thickBot="1">
      <c r="A104" s="3"/>
      <c r="B104" s="26" t="s">
        <v>67</v>
      </c>
      <c r="C104" s="108" t="s">
        <v>68</v>
      </c>
      <c r="D104" s="105"/>
      <c r="E104" s="392" t="s">
        <v>267</v>
      </c>
      <c r="F104" s="392" t="s">
        <v>267</v>
      </c>
      <c r="G104" s="667" t="s">
        <v>267</v>
      </c>
      <c r="H104" s="667" t="s">
        <v>267</v>
      </c>
      <c r="I104" s="667" t="s">
        <v>267</v>
      </c>
      <c r="J104" s="664" t="s">
        <v>267</v>
      </c>
      <c r="K104" s="667" t="s">
        <v>267</v>
      </c>
      <c r="L104" s="712" t="s">
        <v>267</v>
      </c>
      <c r="M104" s="712" t="s">
        <v>327</v>
      </c>
      <c r="N104" s="712" t="s">
        <v>267</v>
      </c>
      <c r="O104" s="684" t="s">
        <v>267</v>
      </c>
      <c r="P104" s="918" t="s">
        <v>267</v>
      </c>
      <c r="Q104" s="898" t="s">
        <v>267</v>
      </c>
      <c r="R104" s="668" t="s">
        <v>267</v>
      </c>
      <c r="S104" s="668" t="s">
        <v>267</v>
      </c>
    </row>
    <row r="105" spans="1:19" ht="15" thickBot="1">
      <c r="A105" s="3"/>
      <c r="B105" s="32" t="s">
        <v>73</v>
      </c>
      <c r="C105" s="40" t="s">
        <v>70</v>
      </c>
      <c r="D105" s="83"/>
      <c r="E105" s="390" t="s">
        <v>267</v>
      </c>
      <c r="F105" s="390" t="s">
        <v>267</v>
      </c>
      <c r="G105" s="664" t="s">
        <v>267</v>
      </c>
      <c r="H105" s="664" t="s">
        <v>267</v>
      </c>
      <c r="I105" s="664" t="s">
        <v>267</v>
      </c>
      <c r="J105" s="664" t="s">
        <v>267</v>
      </c>
      <c r="K105" s="664" t="s">
        <v>267</v>
      </c>
      <c r="L105" s="712" t="s">
        <v>267</v>
      </c>
      <c r="M105" s="712" t="s">
        <v>327</v>
      </c>
      <c r="N105" s="712" t="s">
        <v>267</v>
      </c>
      <c r="O105" s="684" t="s">
        <v>267</v>
      </c>
      <c r="P105" s="918" t="s">
        <v>267</v>
      </c>
      <c r="Q105" s="898" t="s">
        <v>267</v>
      </c>
      <c r="R105" s="668" t="s">
        <v>267</v>
      </c>
      <c r="S105" s="668" t="s">
        <v>267</v>
      </c>
    </row>
    <row r="106" spans="1:19" ht="15" thickBot="1">
      <c r="A106" s="3"/>
      <c r="B106" s="42"/>
      <c r="C106" s="37" t="s">
        <v>71</v>
      </c>
      <c r="D106" s="101"/>
      <c r="E106" s="390" t="s">
        <v>267</v>
      </c>
      <c r="F106" s="390" t="s">
        <v>267</v>
      </c>
      <c r="G106" s="664" t="s">
        <v>267</v>
      </c>
      <c r="H106" s="664" t="s">
        <v>267</v>
      </c>
      <c r="I106" s="664" t="s">
        <v>267</v>
      </c>
      <c r="J106" s="664" t="s">
        <v>267</v>
      </c>
      <c r="K106" s="664" t="s">
        <v>267</v>
      </c>
      <c r="L106" s="712" t="s">
        <v>267</v>
      </c>
      <c r="M106" s="712" t="s">
        <v>327</v>
      </c>
      <c r="N106" s="712" t="s">
        <v>267</v>
      </c>
      <c r="O106" s="684" t="s">
        <v>267</v>
      </c>
      <c r="P106" s="918" t="s">
        <v>267</v>
      </c>
      <c r="Q106" s="898" t="s">
        <v>267</v>
      </c>
      <c r="R106" s="668" t="s">
        <v>267</v>
      </c>
      <c r="S106" s="668" t="s">
        <v>267</v>
      </c>
    </row>
    <row r="107" spans="1:19" ht="15" thickBot="1">
      <c r="A107" s="3"/>
      <c r="B107" s="43"/>
      <c r="C107" s="104" t="s">
        <v>72</v>
      </c>
      <c r="D107" s="105"/>
      <c r="E107" s="390" t="s">
        <v>267</v>
      </c>
      <c r="F107" s="390" t="s">
        <v>267</v>
      </c>
      <c r="G107" s="664" t="s">
        <v>267</v>
      </c>
      <c r="H107" s="664" t="s">
        <v>267</v>
      </c>
      <c r="I107" s="664" t="s">
        <v>267</v>
      </c>
      <c r="J107" s="664" t="s">
        <v>267</v>
      </c>
      <c r="K107" s="664" t="s">
        <v>267</v>
      </c>
      <c r="L107" s="712" t="s">
        <v>267</v>
      </c>
      <c r="M107" s="712" t="s">
        <v>327</v>
      </c>
      <c r="N107" s="712" t="s">
        <v>267</v>
      </c>
      <c r="O107" s="684" t="s">
        <v>267</v>
      </c>
      <c r="P107" s="918" t="s">
        <v>267</v>
      </c>
      <c r="Q107" s="898" t="s">
        <v>267</v>
      </c>
      <c r="R107" s="668" t="s">
        <v>267</v>
      </c>
      <c r="S107" s="668" t="s">
        <v>267</v>
      </c>
    </row>
    <row r="108" spans="1:19" ht="15" thickBot="1">
      <c r="A108" s="3"/>
      <c r="B108" s="20" t="s">
        <v>1255</v>
      </c>
      <c r="C108" s="21"/>
      <c r="D108" s="48"/>
      <c r="E108" s="389" t="s">
        <v>65</v>
      </c>
      <c r="F108" s="389" t="s">
        <v>65</v>
      </c>
      <c r="G108" s="662" t="s">
        <v>65</v>
      </c>
      <c r="H108" s="662" t="s">
        <v>65</v>
      </c>
      <c r="I108" s="662" t="s">
        <v>65</v>
      </c>
      <c r="J108" s="662" t="s">
        <v>65</v>
      </c>
      <c r="K108" s="662" t="s">
        <v>65</v>
      </c>
      <c r="L108" s="713" t="s">
        <v>65</v>
      </c>
      <c r="M108" s="713" t="s">
        <v>65</v>
      </c>
      <c r="N108" s="713" t="s">
        <v>65</v>
      </c>
      <c r="O108" s="896" t="s">
        <v>65</v>
      </c>
      <c r="P108" s="922" t="s">
        <v>65</v>
      </c>
      <c r="Q108" s="898" t="s">
        <v>65</v>
      </c>
      <c r="R108" s="668" t="s">
        <v>65</v>
      </c>
      <c r="S108" s="668" t="s">
        <v>65</v>
      </c>
    </row>
    <row r="109" spans="1:19">
      <c r="A109" s="3"/>
      <c r="B109" s="61" t="s">
        <v>29</v>
      </c>
      <c r="D109" s="63"/>
      <c r="N109" s="711"/>
      <c r="O109" s="897"/>
      <c r="P109" s="923"/>
      <c r="Q109" s="898"/>
      <c r="R109" s="668"/>
      <c r="S109" s="668"/>
    </row>
    <row r="110" spans="1:19">
      <c r="A110" s="3"/>
      <c r="B110" s="61"/>
      <c r="D110" s="63"/>
      <c r="N110" s="668"/>
      <c r="O110" s="898"/>
      <c r="P110" s="924"/>
      <c r="Q110" s="898"/>
      <c r="R110" s="668"/>
      <c r="S110" s="668"/>
    </row>
    <row r="111" spans="1:19" ht="15" thickBot="1">
      <c r="A111" s="3"/>
      <c r="B111" s="111" t="s">
        <v>74</v>
      </c>
      <c r="E111" s="393"/>
      <c r="N111" s="668"/>
      <c r="O111" s="898"/>
      <c r="P111" s="924"/>
      <c r="Q111" s="898"/>
      <c r="R111" s="668"/>
      <c r="S111" s="668"/>
    </row>
    <row r="112" spans="1:19" ht="16" thickBot="1">
      <c r="A112" s="3"/>
      <c r="B112" s="992" t="s">
        <v>10</v>
      </c>
      <c r="C112" s="993"/>
      <c r="D112" s="994"/>
      <c r="E112" s="998"/>
      <c r="F112" s="998"/>
      <c r="G112" s="999"/>
      <c r="H112" s="669"/>
      <c r="I112" s="669"/>
      <c r="J112" s="669"/>
      <c r="N112" s="668"/>
      <c r="O112" s="898"/>
      <c r="P112" s="924"/>
      <c r="Q112" s="898"/>
      <c r="R112" s="668"/>
      <c r="S112" s="668"/>
    </row>
    <row r="113" spans="1:19" s="117" customFormat="1" ht="27" customHeight="1" thickBot="1">
      <c r="A113" s="113" t="s">
        <v>75</v>
      </c>
      <c r="B113" s="719" t="s">
        <v>76</v>
      </c>
      <c r="C113" s="720"/>
      <c r="D113" s="721"/>
      <c r="E113" s="411" t="s">
        <v>299</v>
      </c>
      <c r="F113" s="411" t="s">
        <v>300</v>
      </c>
      <c r="G113" s="670" t="s">
        <v>301</v>
      </c>
      <c r="H113" s="644" t="s">
        <v>302</v>
      </c>
      <c r="I113" s="644" t="s">
        <v>303</v>
      </c>
      <c r="J113" s="645" t="s">
        <v>304</v>
      </c>
      <c r="K113" s="644" t="s">
        <v>326</v>
      </c>
      <c r="L113" s="693" t="s">
        <v>305</v>
      </c>
      <c r="M113" s="694" t="s">
        <v>306</v>
      </c>
      <c r="N113" s="702" t="s">
        <v>307</v>
      </c>
      <c r="O113" s="894" t="s">
        <v>308</v>
      </c>
      <c r="P113" s="925" t="s">
        <v>309</v>
      </c>
      <c r="Q113" s="941" t="s">
        <v>310</v>
      </c>
      <c r="R113" s="873" t="s">
        <v>1248</v>
      </c>
      <c r="S113" s="873" t="s">
        <v>1251</v>
      </c>
    </row>
    <row r="114" spans="1:19" ht="15" thickBot="1">
      <c r="A114" s="715" t="s">
        <v>77</v>
      </c>
      <c r="B114" s="729" t="s">
        <v>78</v>
      </c>
      <c r="C114" s="730"/>
      <c r="D114" s="730"/>
      <c r="E114" s="731">
        <v>519.6508</v>
      </c>
      <c r="F114" s="731">
        <f>E114*106.9/100</f>
        <v>555.50670520000006</v>
      </c>
      <c r="G114" s="732">
        <f>F114*106.4/100</f>
        <v>591.05913433280011</v>
      </c>
      <c r="H114" s="732">
        <f>G114*5.3%+G114</f>
        <v>622.38526845243848</v>
      </c>
      <c r="I114" s="732">
        <f t="shared" ref="I114" si="78">H114*5.3%+H114</f>
        <v>655.37168768041772</v>
      </c>
      <c r="J114" s="732">
        <f>I114-I114*0.08</f>
        <v>602.94195266598433</v>
      </c>
      <c r="K114" s="732">
        <f>I114*5.4%+I114</f>
        <v>690.76175881516031</v>
      </c>
      <c r="L114" s="732">
        <f t="shared" ref="L114:L134" si="79">J114*10%+J114</f>
        <v>663.23614793258275</v>
      </c>
      <c r="M114" s="732">
        <f>L114*5%+L114</f>
        <v>696.39795532921187</v>
      </c>
      <c r="N114" s="732">
        <f>M114*0.08+M114</f>
        <v>752.10979175554883</v>
      </c>
      <c r="O114" s="895">
        <f>N114*0.08+N114</f>
        <v>812.27857509599278</v>
      </c>
      <c r="P114" s="926">
        <f t="shared" ref="P114:P135" si="80">O114*4.4%+O114</f>
        <v>848.01883240021641</v>
      </c>
      <c r="Q114" s="898">
        <f t="shared" ref="Q114:Q135" si="81">O114*3.7%+O114</f>
        <v>842.33288237454451</v>
      </c>
      <c r="R114" s="668">
        <f t="shared" ref="R114:R135" si="82">Q114*3.3%+Q114</f>
        <v>870.12986749290451</v>
      </c>
      <c r="S114" s="668">
        <f t="shared" ref="S114:S135" si="83">R114*3.2%+R114</f>
        <v>897.9740232526774</v>
      </c>
    </row>
    <row r="115" spans="1:19" ht="16" thickBot="1">
      <c r="A115" s="716"/>
      <c r="B115" s="729"/>
      <c r="C115" s="733" t="s">
        <v>79</v>
      </c>
      <c r="D115" s="733"/>
      <c r="E115" s="731"/>
      <c r="F115" s="731"/>
      <c r="G115" s="732"/>
      <c r="H115" s="732"/>
      <c r="I115" s="732"/>
      <c r="J115" s="732">
        <f t="shared" ref="J115:J134" si="84">I115-I115*0.08</f>
        <v>0</v>
      </c>
      <c r="K115" s="732"/>
      <c r="L115" s="732">
        <f t="shared" si="79"/>
        <v>0</v>
      </c>
      <c r="M115" s="732"/>
      <c r="N115" s="732">
        <f t="shared" ref="N115:O134" si="85">M115*0.08+M115</f>
        <v>0</v>
      </c>
      <c r="O115" s="895">
        <f t="shared" si="85"/>
        <v>0</v>
      </c>
      <c r="P115" s="926">
        <f t="shared" si="80"/>
        <v>0</v>
      </c>
      <c r="Q115" s="898">
        <f t="shared" si="81"/>
        <v>0</v>
      </c>
      <c r="R115" s="668">
        <f t="shared" si="82"/>
        <v>0</v>
      </c>
      <c r="S115" s="668">
        <f t="shared" si="83"/>
        <v>0</v>
      </c>
    </row>
    <row r="116" spans="1:19" ht="31" thickBot="1">
      <c r="A116" s="716"/>
      <c r="B116" s="729"/>
      <c r="C116" s="733" t="s">
        <v>80</v>
      </c>
      <c r="D116" s="733"/>
      <c r="E116" s="731"/>
      <c r="F116" s="731"/>
      <c r="G116" s="732"/>
      <c r="H116" s="732"/>
      <c r="I116" s="732"/>
      <c r="J116" s="732">
        <f t="shared" si="84"/>
        <v>0</v>
      </c>
      <c r="K116" s="732"/>
      <c r="L116" s="732">
        <f t="shared" si="79"/>
        <v>0</v>
      </c>
      <c r="M116" s="732"/>
      <c r="N116" s="732">
        <f t="shared" si="85"/>
        <v>0</v>
      </c>
      <c r="O116" s="895">
        <f t="shared" si="85"/>
        <v>0</v>
      </c>
      <c r="P116" s="926">
        <f t="shared" si="80"/>
        <v>0</v>
      </c>
      <c r="Q116" s="898">
        <f t="shared" si="81"/>
        <v>0</v>
      </c>
      <c r="R116" s="668">
        <f t="shared" si="82"/>
        <v>0</v>
      </c>
      <c r="S116" s="668">
        <f t="shared" si="83"/>
        <v>0</v>
      </c>
    </row>
    <row r="117" spans="1:19" ht="16" thickBot="1">
      <c r="A117" s="717"/>
      <c r="B117" s="729"/>
      <c r="C117" s="733" t="s">
        <v>81</v>
      </c>
      <c r="D117" s="733"/>
      <c r="E117" s="731"/>
      <c r="F117" s="731"/>
      <c r="G117" s="732"/>
      <c r="H117" s="732"/>
      <c r="I117" s="732"/>
      <c r="J117" s="732">
        <f t="shared" si="84"/>
        <v>0</v>
      </c>
      <c r="K117" s="732"/>
      <c r="L117" s="732">
        <f t="shared" si="79"/>
        <v>0</v>
      </c>
      <c r="M117" s="732"/>
      <c r="N117" s="732">
        <f t="shared" si="85"/>
        <v>0</v>
      </c>
      <c r="O117" s="895">
        <f t="shared" si="85"/>
        <v>0</v>
      </c>
      <c r="P117" s="926">
        <f t="shared" si="80"/>
        <v>0</v>
      </c>
      <c r="Q117" s="898">
        <f t="shared" si="81"/>
        <v>0</v>
      </c>
      <c r="R117" s="668">
        <f t="shared" si="82"/>
        <v>0</v>
      </c>
      <c r="S117" s="668">
        <f t="shared" si="83"/>
        <v>0</v>
      </c>
    </row>
    <row r="118" spans="1:19" ht="15" thickBot="1">
      <c r="A118" s="715" t="s">
        <v>82</v>
      </c>
      <c r="B118" s="729" t="s">
        <v>83</v>
      </c>
      <c r="C118" s="730"/>
      <c r="D118" s="730"/>
      <c r="E118" s="731">
        <v>390.80968000000001</v>
      </c>
      <c r="F118" s="731">
        <f>E118*106.9/100</f>
        <v>417.77554792000001</v>
      </c>
      <c r="G118" s="732">
        <f>F118*106.4/100</f>
        <v>444.51318298688005</v>
      </c>
      <c r="H118" s="732">
        <f>G118*5.3%+G118</f>
        <v>468.07238168518472</v>
      </c>
      <c r="I118" s="732">
        <f t="shared" ref="I118" si="86">H118*5.3%+H118</f>
        <v>492.8802179144995</v>
      </c>
      <c r="J118" s="732">
        <f t="shared" si="84"/>
        <v>453.44980048133954</v>
      </c>
      <c r="K118" s="732">
        <f>I118*5.4%+I118</f>
        <v>519.49574968188244</v>
      </c>
      <c r="L118" s="732">
        <f t="shared" si="79"/>
        <v>498.79478052947348</v>
      </c>
      <c r="M118" s="732">
        <f>L118*5%+L118</f>
        <v>523.73451955594714</v>
      </c>
      <c r="N118" s="732">
        <f t="shared" si="85"/>
        <v>565.63328112042291</v>
      </c>
      <c r="O118" s="895">
        <f t="shared" si="85"/>
        <v>610.88394361005669</v>
      </c>
      <c r="P118" s="926">
        <f t="shared" si="80"/>
        <v>637.76283712889915</v>
      </c>
      <c r="Q118" s="898">
        <f t="shared" si="81"/>
        <v>633.48664952362878</v>
      </c>
      <c r="R118" s="668">
        <f t="shared" si="82"/>
        <v>654.39170895790858</v>
      </c>
      <c r="S118" s="668">
        <f t="shared" si="83"/>
        <v>675.33224364456169</v>
      </c>
    </row>
    <row r="119" spans="1:19" ht="15" thickBot="1">
      <c r="A119" s="717"/>
      <c r="B119" s="729"/>
      <c r="C119" s="730" t="s">
        <v>84</v>
      </c>
      <c r="D119" s="730"/>
      <c r="E119" s="734"/>
      <c r="F119" s="734"/>
      <c r="G119" s="735"/>
      <c r="H119" s="735"/>
      <c r="I119" s="735"/>
      <c r="J119" s="732">
        <f t="shared" si="84"/>
        <v>0</v>
      </c>
      <c r="K119" s="735"/>
      <c r="L119" s="732">
        <f t="shared" si="79"/>
        <v>0</v>
      </c>
      <c r="M119" s="735"/>
      <c r="N119" s="732">
        <f t="shared" si="85"/>
        <v>0</v>
      </c>
      <c r="O119" s="895">
        <f t="shared" si="85"/>
        <v>0</v>
      </c>
      <c r="P119" s="926">
        <f t="shared" si="80"/>
        <v>0</v>
      </c>
      <c r="Q119" s="898">
        <f t="shared" si="81"/>
        <v>0</v>
      </c>
      <c r="R119" s="668">
        <f t="shared" si="82"/>
        <v>0</v>
      </c>
      <c r="S119" s="668">
        <f t="shared" si="83"/>
        <v>0</v>
      </c>
    </row>
    <row r="120" spans="1:19" ht="15" thickBot="1">
      <c r="A120" s="715" t="s">
        <v>85</v>
      </c>
      <c r="B120" s="729" t="s">
        <v>86</v>
      </c>
      <c r="C120" s="730" t="s">
        <v>87</v>
      </c>
      <c r="D120" s="730"/>
      <c r="E120" s="731">
        <v>433.04407999999995</v>
      </c>
      <c r="F120" s="731">
        <f t="shared" ref="F120:F121" si="87">E120*106.9/100</f>
        <v>462.92412151999997</v>
      </c>
      <c r="G120" s="735">
        <f>F120*106.4/100</f>
        <v>492.55126529728</v>
      </c>
      <c r="H120" s="735">
        <f>G120*5.3%+G120</f>
        <v>518.65648235803587</v>
      </c>
      <c r="I120" s="735">
        <f t="shared" ref="I120" si="88">H120*5.3%+H120</f>
        <v>546.14527592301181</v>
      </c>
      <c r="J120" s="732">
        <f t="shared" si="84"/>
        <v>502.45365384917085</v>
      </c>
      <c r="K120" s="735">
        <f>I120*5.4%+I120</f>
        <v>575.6371208228544</v>
      </c>
      <c r="L120" s="732">
        <f t="shared" si="79"/>
        <v>552.69901923408793</v>
      </c>
      <c r="M120" s="735">
        <f>L120*5%+L120</f>
        <v>580.33397019579229</v>
      </c>
      <c r="N120" s="732">
        <f t="shared" si="85"/>
        <v>626.76068781145568</v>
      </c>
      <c r="O120" s="895">
        <f t="shared" si="85"/>
        <v>676.90154283637219</v>
      </c>
      <c r="P120" s="926">
        <f t="shared" si="80"/>
        <v>706.68521072117255</v>
      </c>
      <c r="Q120" s="898">
        <f t="shared" si="81"/>
        <v>701.94689992131794</v>
      </c>
      <c r="R120" s="668">
        <f t="shared" si="82"/>
        <v>725.11114761872147</v>
      </c>
      <c r="S120" s="668">
        <f t="shared" si="83"/>
        <v>748.3147043425206</v>
      </c>
    </row>
    <row r="121" spans="1:19" ht="15" thickBot="1">
      <c r="A121" s="715" t="s">
        <v>88</v>
      </c>
      <c r="B121" s="729" t="s">
        <v>89</v>
      </c>
      <c r="C121" s="730" t="s">
        <v>90</v>
      </c>
      <c r="D121" s="730"/>
      <c r="E121" s="731">
        <v>1732.15536</v>
      </c>
      <c r="F121" s="731">
        <f t="shared" si="87"/>
        <v>1851.6740798400001</v>
      </c>
      <c r="G121" s="732">
        <f>F121*106.4/100</f>
        <v>1970.1812209497602</v>
      </c>
      <c r="H121" s="732">
        <f>G121*5.3%+G121</f>
        <v>2074.6008256600976</v>
      </c>
      <c r="I121" s="732">
        <f t="shared" ref="I121" si="89">H121*5.3%+H121</f>
        <v>2184.554669420083</v>
      </c>
      <c r="J121" s="732">
        <f t="shared" si="84"/>
        <v>2009.7902958664763</v>
      </c>
      <c r="K121" s="732">
        <f>I121*5.4%+I121</f>
        <v>2302.5206215687676</v>
      </c>
      <c r="L121" s="732">
        <f t="shared" si="79"/>
        <v>2210.7693254531241</v>
      </c>
      <c r="M121" s="732">
        <f>L121*5%+L121</f>
        <v>2321.3077917257801</v>
      </c>
      <c r="N121" s="732">
        <f t="shared" si="85"/>
        <v>2507.0124150638426</v>
      </c>
      <c r="O121" s="895">
        <f t="shared" si="85"/>
        <v>2707.5734082689501</v>
      </c>
      <c r="P121" s="926">
        <f t="shared" si="80"/>
        <v>2826.7066382327839</v>
      </c>
      <c r="Q121" s="898">
        <f t="shared" si="81"/>
        <v>2807.7536243749014</v>
      </c>
      <c r="R121" s="668">
        <f t="shared" si="82"/>
        <v>2900.4094939792731</v>
      </c>
      <c r="S121" s="668">
        <f t="shared" si="83"/>
        <v>2993.2225977866096</v>
      </c>
    </row>
    <row r="122" spans="1:19" ht="15" thickBot="1">
      <c r="A122" s="717"/>
      <c r="B122" s="729" t="s">
        <v>91</v>
      </c>
      <c r="C122" s="730"/>
      <c r="D122" s="730"/>
      <c r="E122" s="736"/>
      <c r="F122" s="734"/>
      <c r="G122" s="735"/>
      <c r="H122" s="735"/>
      <c r="I122" s="735"/>
      <c r="J122" s="732">
        <f t="shared" si="84"/>
        <v>0</v>
      </c>
      <c r="K122" s="735"/>
      <c r="L122" s="732">
        <f t="shared" si="79"/>
        <v>0</v>
      </c>
      <c r="M122" s="735"/>
      <c r="N122" s="732">
        <f t="shared" si="85"/>
        <v>0</v>
      </c>
      <c r="O122" s="895">
        <f t="shared" si="85"/>
        <v>0</v>
      </c>
      <c r="P122" s="926">
        <f t="shared" si="80"/>
        <v>0</v>
      </c>
      <c r="Q122" s="898">
        <f t="shared" si="81"/>
        <v>0</v>
      </c>
      <c r="R122" s="668">
        <f t="shared" si="82"/>
        <v>0</v>
      </c>
      <c r="S122" s="668">
        <f t="shared" si="83"/>
        <v>0</v>
      </c>
    </row>
    <row r="123" spans="1:19" ht="15" thickBot="1">
      <c r="A123" s="715" t="s">
        <v>92</v>
      </c>
      <c r="B123" s="729" t="s">
        <v>93</v>
      </c>
      <c r="C123" s="730" t="s">
        <v>94</v>
      </c>
      <c r="D123" s="730"/>
      <c r="E123" s="731">
        <v>866.07767999999999</v>
      </c>
      <c r="F123" s="731">
        <f>E123*106.9/100</f>
        <v>925.83703992000005</v>
      </c>
      <c r="G123" s="732">
        <f>F123*106.4/100</f>
        <v>985.09061047488012</v>
      </c>
      <c r="H123" s="732">
        <f>G123*5.3%+122</f>
        <v>174.20980235516865</v>
      </c>
      <c r="I123" s="732">
        <f t="shared" ref="I123" si="90">H123*5.3%+122</f>
        <v>131.23311952482393</v>
      </c>
      <c r="J123" s="732">
        <f t="shared" si="84"/>
        <v>120.73446996283802</v>
      </c>
      <c r="K123" s="732">
        <f>I123*5.4%+122</f>
        <v>129.0865884543405</v>
      </c>
      <c r="L123" s="732">
        <f t="shared" si="79"/>
        <v>132.80791695912183</v>
      </c>
      <c r="M123" s="732">
        <f>L123*5%+122</f>
        <v>128.64039584795609</v>
      </c>
      <c r="N123" s="732">
        <f t="shared" si="85"/>
        <v>138.93162751579257</v>
      </c>
      <c r="O123" s="895">
        <f t="shared" si="85"/>
        <v>150.04615771705596</v>
      </c>
      <c r="P123" s="926">
        <f t="shared" si="80"/>
        <v>156.64818865660644</v>
      </c>
      <c r="Q123" s="898">
        <f t="shared" si="81"/>
        <v>155.59786555258702</v>
      </c>
      <c r="R123" s="668">
        <f t="shared" si="82"/>
        <v>160.73259511582239</v>
      </c>
      <c r="S123" s="668">
        <f t="shared" si="83"/>
        <v>165.87603815952872</v>
      </c>
    </row>
    <row r="124" spans="1:19" ht="15" thickBot="1">
      <c r="A124" s="716"/>
      <c r="B124" s="729" t="s">
        <v>95</v>
      </c>
      <c r="C124" s="730" t="s">
        <v>96</v>
      </c>
      <c r="D124" s="730"/>
      <c r="E124" s="736"/>
      <c r="F124" s="734"/>
      <c r="G124" s="735"/>
      <c r="H124" s="735"/>
      <c r="I124" s="735"/>
      <c r="J124" s="732">
        <f t="shared" si="84"/>
        <v>0</v>
      </c>
      <c r="K124" s="735"/>
      <c r="L124" s="732">
        <f t="shared" si="79"/>
        <v>0</v>
      </c>
      <c r="M124" s="735"/>
      <c r="N124" s="732">
        <f t="shared" si="85"/>
        <v>0</v>
      </c>
      <c r="O124" s="895">
        <f t="shared" si="85"/>
        <v>0</v>
      </c>
      <c r="P124" s="926">
        <f t="shared" si="80"/>
        <v>0</v>
      </c>
      <c r="Q124" s="898">
        <f t="shared" si="81"/>
        <v>0</v>
      </c>
      <c r="R124" s="668">
        <f t="shared" si="82"/>
        <v>0</v>
      </c>
      <c r="S124" s="668">
        <f t="shared" si="83"/>
        <v>0</v>
      </c>
    </row>
    <row r="125" spans="1:19" ht="15" thickBot="1">
      <c r="A125" s="716"/>
      <c r="B125" s="729"/>
      <c r="C125" s="730"/>
      <c r="D125" s="730"/>
      <c r="E125" s="736"/>
      <c r="F125" s="731"/>
      <c r="G125" s="732"/>
      <c r="H125" s="732"/>
      <c r="I125" s="732"/>
      <c r="J125" s="732">
        <f t="shared" si="84"/>
        <v>0</v>
      </c>
      <c r="K125" s="732"/>
      <c r="L125" s="732">
        <f t="shared" si="79"/>
        <v>0</v>
      </c>
      <c r="M125" s="732"/>
      <c r="N125" s="732">
        <f t="shared" si="85"/>
        <v>0</v>
      </c>
      <c r="O125" s="895">
        <f t="shared" si="85"/>
        <v>0</v>
      </c>
      <c r="P125" s="926">
        <f t="shared" si="80"/>
        <v>0</v>
      </c>
      <c r="Q125" s="898">
        <f t="shared" si="81"/>
        <v>0</v>
      </c>
      <c r="R125" s="668">
        <f t="shared" si="82"/>
        <v>0</v>
      </c>
      <c r="S125" s="668">
        <f t="shared" si="83"/>
        <v>0</v>
      </c>
    </row>
    <row r="126" spans="1:19" ht="15" thickBot="1">
      <c r="A126" s="715" t="s">
        <v>97</v>
      </c>
      <c r="B126" s="729" t="s">
        <v>98</v>
      </c>
      <c r="C126" s="730" t="s">
        <v>99</v>
      </c>
      <c r="D126" s="730"/>
      <c r="E126" s="731">
        <v>866.07767999999999</v>
      </c>
      <c r="F126" s="731">
        <f>E126*106.9/100</f>
        <v>925.83703992000005</v>
      </c>
      <c r="G126" s="732">
        <f>F126*106.4/100</f>
        <v>985.09061047488012</v>
      </c>
      <c r="H126" s="732">
        <f>G126*5.3%+G126</f>
        <v>1037.3004128300488</v>
      </c>
      <c r="I126" s="732">
        <f t="shared" ref="I126" si="91">H126*5.3%+H126</f>
        <v>1092.2773347100415</v>
      </c>
      <c r="J126" s="732">
        <f t="shared" si="84"/>
        <v>1004.8951479332381</v>
      </c>
      <c r="K126" s="732">
        <f>I126*5.4%+I126</f>
        <v>1151.2603107843838</v>
      </c>
      <c r="L126" s="732">
        <f t="shared" si="79"/>
        <v>1105.3846627265621</v>
      </c>
      <c r="M126" s="732">
        <f>L126*5%+L126</f>
        <v>1160.6538958628901</v>
      </c>
      <c r="N126" s="732">
        <f t="shared" si="85"/>
        <v>1253.5062075319213</v>
      </c>
      <c r="O126" s="895">
        <f t="shared" si="85"/>
        <v>1353.786704134475</v>
      </c>
      <c r="P126" s="926">
        <f t="shared" si="80"/>
        <v>1413.353319116392</v>
      </c>
      <c r="Q126" s="898">
        <f t="shared" si="81"/>
        <v>1403.8768121874507</v>
      </c>
      <c r="R126" s="668">
        <f t="shared" si="82"/>
        <v>1450.2047469896365</v>
      </c>
      <c r="S126" s="668">
        <f t="shared" si="83"/>
        <v>1496.6112988933048</v>
      </c>
    </row>
    <row r="127" spans="1:19" ht="15" thickBot="1">
      <c r="A127" s="716"/>
      <c r="B127" s="729"/>
      <c r="C127" s="730" t="s">
        <v>100</v>
      </c>
      <c r="D127" s="730"/>
      <c r="E127" s="736"/>
      <c r="F127" s="734"/>
      <c r="G127" s="735"/>
      <c r="H127" s="735"/>
      <c r="I127" s="735"/>
      <c r="J127" s="732">
        <f t="shared" si="84"/>
        <v>0</v>
      </c>
      <c r="K127" s="735"/>
      <c r="L127" s="732">
        <f t="shared" si="79"/>
        <v>0</v>
      </c>
      <c r="M127" s="735"/>
      <c r="N127" s="732">
        <f t="shared" si="85"/>
        <v>0</v>
      </c>
      <c r="O127" s="895">
        <f t="shared" si="85"/>
        <v>0</v>
      </c>
      <c r="P127" s="926">
        <f t="shared" si="80"/>
        <v>0</v>
      </c>
      <c r="Q127" s="898">
        <f t="shared" si="81"/>
        <v>0</v>
      </c>
      <c r="R127" s="668">
        <f t="shared" si="82"/>
        <v>0</v>
      </c>
      <c r="S127" s="668">
        <f t="shared" si="83"/>
        <v>0</v>
      </c>
    </row>
    <row r="128" spans="1:19" ht="15" thickBot="1">
      <c r="A128" s="715" t="s">
        <v>101</v>
      </c>
      <c r="B128" s="729" t="s">
        <v>102</v>
      </c>
      <c r="C128" s="730" t="s">
        <v>103</v>
      </c>
      <c r="D128" s="730"/>
      <c r="E128" s="731">
        <v>433.04407999999995</v>
      </c>
      <c r="F128" s="731">
        <f>E128*106.9/100</f>
        <v>462.92412151999997</v>
      </c>
      <c r="G128" s="732">
        <f>F128*106.4/100</f>
        <v>492.55126529728</v>
      </c>
      <c r="H128" s="732">
        <f>G128*5.3%+G128</f>
        <v>518.65648235803587</v>
      </c>
      <c r="I128" s="732">
        <f t="shared" ref="I128" si="92">H128*5.3%+H128</f>
        <v>546.14527592301181</v>
      </c>
      <c r="J128" s="732">
        <f t="shared" si="84"/>
        <v>502.45365384917085</v>
      </c>
      <c r="K128" s="732">
        <f>I128*5.4%+I128</f>
        <v>575.6371208228544</v>
      </c>
      <c r="L128" s="732">
        <f t="shared" si="79"/>
        <v>552.69901923408793</v>
      </c>
      <c r="M128" s="732">
        <f>L128*5%+L128</f>
        <v>580.33397019579229</v>
      </c>
      <c r="N128" s="732">
        <f t="shared" si="85"/>
        <v>626.76068781145568</v>
      </c>
      <c r="O128" s="895">
        <f t="shared" si="85"/>
        <v>676.90154283637219</v>
      </c>
      <c r="P128" s="926">
        <f t="shared" si="80"/>
        <v>706.68521072117255</v>
      </c>
      <c r="Q128" s="898">
        <f t="shared" si="81"/>
        <v>701.94689992131794</v>
      </c>
      <c r="R128" s="668">
        <f t="shared" si="82"/>
        <v>725.11114761872147</v>
      </c>
      <c r="S128" s="668">
        <f t="shared" si="83"/>
        <v>748.3147043425206</v>
      </c>
    </row>
    <row r="129" spans="1:19" ht="15" thickBot="1">
      <c r="A129" s="717"/>
      <c r="B129" s="729"/>
      <c r="C129" s="730"/>
      <c r="D129" s="730"/>
      <c r="E129" s="736"/>
      <c r="F129" s="734"/>
      <c r="G129" s="735"/>
      <c r="H129" s="735"/>
      <c r="I129" s="735"/>
      <c r="J129" s="732">
        <f t="shared" si="84"/>
        <v>0</v>
      </c>
      <c r="K129" s="735"/>
      <c r="L129" s="732">
        <f t="shared" si="79"/>
        <v>0</v>
      </c>
      <c r="M129" s="735"/>
      <c r="N129" s="732">
        <f t="shared" si="85"/>
        <v>0</v>
      </c>
      <c r="O129" s="895">
        <f t="shared" si="85"/>
        <v>0</v>
      </c>
      <c r="P129" s="926">
        <f t="shared" si="80"/>
        <v>0</v>
      </c>
      <c r="Q129" s="898">
        <f t="shared" si="81"/>
        <v>0</v>
      </c>
      <c r="R129" s="668">
        <f t="shared" si="82"/>
        <v>0</v>
      </c>
      <c r="S129" s="668">
        <f t="shared" si="83"/>
        <v>0</v>
      </c>
    </row>
    <row r="130" spans="1:19" ht="15" thickBot="1">
      <c r="A130" s="715" t="s">
        <v>104</v>
      </c>
      <c r="B130" s="729" t="s">
        <v>105</v>
      </c>
      <c r="C130" s="730" t="s">
        <v>106</v>
      </c>
      <c r="D130" s="730"/>
      <c r="E130" s="731">
        <v>346.42688000000004</v>
      </c>
      <c r="F130" s="731">
        <f>E130*106.9/100</f>
        <v>370.33033472000005</v>
      </c>
      <c r="G130" s="732">
        <f>F130*106.4/100</f>
        <v>394.03147614208007</v>
      </c>
      <c r="H130" s="732">
        <f>G130*5.3%+G130</f>
        <v>414.91514437761032</v>
      </c>
      <c r="I130" s="732">
        <f t="shared" ref="I130" si="93">H130*5.3%+H130</f>
        <v>436.90564702962365</v>
      </c>
      <c r="J130" s="732">
        <f t="shared" si="84"/>
        <v>401.95319526725376</v>
      </c>
      <c r="K130" s="732">
        <f>I130*5.4%+I130</f>
        <v>460.49855196922334</v>
      </c>
      <c r="L130" s="732">
        <f t="shared" si="79"/>
        <v>442.14851479397913</v>
      </c>
      <c r="M130" s="732">
        <f>L130*5%+L130</f>
        <v>464.25594053367809</v>
      </c>
      <c r="N130" s="732">
        <f t="shared" si="85"/>
        <v>501.39641577637235</v>
      </c>
      <c r="O130" s="895">
        <f t="shared" si="85"/>
        <v>541.50812903848214</v>
      </c>
      <c r="P130" s="926">
        <f t="shared" si="80"/>
        <v>565.33448671617532</v>
      </c>
      <c r="Q130" s="898">
        <f t="shared" si="81"/>
        <v>561.54392981290596</v>
      </c>
      <c r="R130" s="668">
        <f t="shared" si="82"/>
        <v>580.07487949673191</v>
      </c>
      <c r="S130" s="668">
        <f t="shared" si="83"/>
        <v>598.63727564062731</v>
      </c>
    </row>
    <row r="131" spans="1:19" ht="15" thickBot="1">
      <c r="A131" s="717"/>
      <c r="B131" s="729" t="s">
        <v>107</v>
      </c>
      <c r="C131" s="730"/>
      <c r="D131" s="730"/>
      <c r="E131" s="736"/>
      <c r="F131" s="734"/>
      <c r="G131" s="735"/>
      <c r="H131" s="735"/>
      <c r="I131" s="735"/>
      <c r="J131" s="732">
        <f t="shared" si="84"/>
        <v>0</v>
      </c>
      <c r="K131" s="735"/>
      <c r="L131" s="732">
        <f t="shared" si="79"/>
        <v>0</v>
      </c>
      <c r="M131" s="735"/>
      <c r="N131" s="732">
        <f t="shared" si="85"/>
        <v>0</v>
      </c>
      <c r="O131" s="895">
        <f t="shared" si="85"/>
        <v>0</v>
      </c>
      <c r="P131" s="926">
        <f t="shared" si="80"/>
        <v>0</v>
      </c>
      <c r="Q131" s="898">
        <f t="shared" si="81"/>
        <v>0</v>
      </c>
      <c r="R131" s="668">
        <f t="shared" si="82"/>
        <v>0</v>
      </c>
      <c r="S131" s="668">
        <f t="shared" si="83"/>
        <v>0</v>
      </c>
    </row>
    <row r="132" spans="1:19" ht="15" thickBot="1">
      <c r="A132" s="715" t="s">
        <v>108</v>
      </c>
      <c r="B132" s="729" t="s">
        <v>109</v>
      </c>
      <c r="C132" s="730" t="s">
        <v>110</v>
      </c>
      <c r="D132" s="730"/>
      <c r="E132" s="731">
        <v>346.42688000000004</v>
      </c>
      <c r="F132" s="731">
        <f>E132*106.9/100</f>
        <v>370.33033472000005</v>
      </c>
      <c r="G132" s="732">
        <f>F132*106.4/100</f>
        <v>394.03147614208007</v>
      </c>
      <c r="H132" s="732">
        <f>G132*5.3%+G132</f>
        <v>414.91514437761032</v>
      </c>
      <c r="I132" s="732">
        <f t="shared" ref="I132" si="94">H132*5.3%+H132</f>
        <v>436.90564702962365</v>
      </c>
      <c r="J132" s="732">
        <f t="shared" si="84"/>
        <v>401.95319526725376</v>
      </c>
      <c r="K132" s="732">
        <f>I132*5.4%+I132</f>
        <v>460.49855196922334</v>
      </c>
      <c r="L132" s="732">
        <f t="shared" si="79"/>
        <v>442.14851479397913</v>
      </c>
      <c r="M132" s="732">
        <f>L132*5%+L132</f>
        <v>464.25594053367809</v>
      </c>
      <c r="N132" s="732">
        <f t="shared" si="85"/>
        <v>501.39641577637235</v>
      </c>
      <c r="O132" s="895">
        <f t="shared" si="85"/>
        <v>541.50812903848214</v>
      </c>
      <c r="P132" s="926">
        <f t="shared" si="80"/>
        <v>565.33448671617532</v>
      </c>
      <c r="Q132" s="898">
        <f t="shared" si="81"/>
        <v>561.54392981290596</v>
      </c>
      <c r="R132" s="668">
        <f t="shared" si="82"/>
        <v>580.07487949673191</v>
      </c>
      <c r="S132" s="668">
        <f t="shared" si="83"/>
        <v>598.63727564062731</v>
      </c>
    </row>
    <row r="133" spans="1:19" ht="15" thickBot="1">
      <c r="A133" s="716"/>
      <c r="B133" s="729" t="s">
        <v>111</v>
      </c>
      <c r="C133" s="730"/>
      <c r="D133" s="730"/>
      <c r="E133" s="737"/>
      <c r="F133" s="734"/>
      <c r="G133" s="735"/>
      <c r="H133" s="735"/>
      <c r="I133" s="735"/>
      <c r="J133" s="732">
        <f t="shared" si="84"/>
        <v>0</v>
      </c>
      <c r="K133" s="735"/>
      <c r="L133" s="732">
        <f t="shared" si="79"/>
        <v>0</v>
      </c>
      <c r="M133" s="735"/>
      <c r="N133" s="732">
        <f t="shared" si="85"/>
        <v>0</v>
      </c>
      <c r="O133" s="895">
        <f t="shared" si="85"/>
        <v>0</v>
      </c>
      <c r="P133" s="926">
        <f t="shared" si="80"/>
        <v>0</v>
      </c>
      <c r="Q133" s="898">
        <f t="shared" si="81"/>
        <v>0</v>
      </c>
      <c r="R133" s="668">
        <f t="shared" si="82"/>
        <v>0</v>
      </c>
      <c r="S133" s="668">
        <f t="shared" si="83"/>
        <v>0</v>
      </c>
    </row>
    <row r="134" spans="1:19" ht="15" thickBot="1">
      <c r="A134" s="718"/>
      <c r="B134" s="729" t="s">
        <v>112</v>
      </c>
      <c r="C134" s="730"/>
      <c r="D134" s="730"/>
      <c r="E134" s="737"/>
      <c r="F134" s="731"/>
      <c r="G134" s="732"/>
      <c r="H134" s="732"/>
      <c r="I134" s="732"/>
      <c r="J134" s="732">
        <f t="shared" si="84"/>
        <v>0</v>
      </c>
      <c r="K134" s="732"/>
      <c r="L134" s="732">
        <f t="shared" si="79"/>
        <v>0</v>
      </c>
      <c r="M134" s="732"/>
      <c r="N134" s="732">
        <f t="shared" si="85"/>
        <v>0</v>
      </c>
      <c r="O134" s="895">
        <f t="shared" si="85"/>
        <v>0</v>
      </c>
      <c r="P134" s="926">
        <f t="shared" si="80"/>
        <v>0</v>
      </c>
      <c r="Q134" s="898">
        <f t="shared" si="81"/>
        <v>0</v>
      </c>
      <c r="R134" s="668">
        <f t="shared" si="82"/>
        <v>0</v>
      </c>
      <c r="S134" s="668">
        <f t="shared" si="83"/>
        <v>0</v>
      </c>
    </row>
    <row r="135" spans="1:19" ht="15" thickBot="1">
      <c r="B135" s="738" t="s">
        <v>29</v>
      </c>
      <c r="C135" s="730"/>
      <c r="D135" s="730"/>
      <c r="E135" s="730"/>
      <c r="F135" s="730"/>
      <c r="G135" s="739"/>
      <c r="H135" s="739"/>
      <c r="I135" s="739"/>
      <c r="J135" s="739"/>
      <c r="K135" s="651"/>
      <c r="L135" s="651"/>
      <c r="M135" s="651"/>
      <c r="N135" s="651"/>
      <c r="O135" s="684"/>
      <c r="P135" s="926">
        <f t="shared" si="80"/>
        <v>0</v>
      </c>
      <c r="Q135" s="898">
        <f t="shared" si="81"/>
        <v>0</v>
      </c>
      <c r="R135" s="668">
        <f t="shared" si="82"/>
        <v>0</v>
      </c>
      <c r="S135" s="668">
        <f t="shared" si="83"/>
        <v>0</v>
      </c>
    </row>
    <row r="136" spans="1:19" ht="31" thickBot="1">
      <c r="A136" s="3"/>
      <c r="B136" s="722" t="s">
        <v>141</v>
      </c>
      <c r="C136" s="723"/>
      <c r="D136" s="724"/>
      <c r="E136" s="725" t="s">
        <v>299</v>
      </c>
      <c r="F136" s="725" t="s">
        <v>300</v>
      </c>
      <c r="G136" s="726" t="s">
        <v>301</v>
      </c>
      <c r="H136" s="726" t="s">
        <v>302</v>
      </c>
      <c r="I136" s="726" t="s">
        <v>303</v>
      </c>
      <c r="J136" s="693" t="s">
        <v>304</v>
      </c>
      <c r="K136" s="726" t="s">
        <v>326</v>
      </c>
      <c r="L136" s="727" t="s">
        <v>305</v>
      </c>
      <c r="M136" s="728" t="s">
        <v>306</v>
      </c>
      <c r="N136" s="702" t="s">
        <v>307</v>
      </c>
      <c r="O136" s="700" t="s">
        <v>308</v>
      </c>
      <c r="P136" s="701" t="s">
        <v>309</v>
      </c>
      <c r="Q136" s="941" t="s">
        <v>310</v>
      </c>
      <c r="R136" s="873" t="s">
        <v>1248</v>
      </c>
      <c r="S136" s="873" t="s">
        <v>1251</v>
      </c>
    </row>
    <row r="137" spans="1:19" ht="15" thickBot="1">
      <c r="A137" s="3"/>
      <c r="B137" s="992" t="s">
        <v>113</v>
      </c>
      <c r="C137" s="993"/>
      <c r="D137" s="994"/>
      <c r="E137" s="1000"/>
      <c r="F137" s="1000"/>
      <c r="G137" s="1001"/>
      <c r="H137" s="1006"/>
      <c r="I137" s="1006"/>
      <c r="J137" s="671"/>
      <c r="K137" s="651"/>
      <c r="L137" s="651"/>
      <c r="M137" s="652"/>
      <c r="N137" s="710"/>
      <c r="O137" s="893"/>
      <c r="P137" s="927"/>
      <c r="Q137" s="898"/>
      <c r="R137" s="668"/>
      <c r="S137" s="668"/>
    </row>
    <row r="138" spans="1:19" s="149" customFormat="1" ht="171.75" customHeight="1" thickBot="1">
      <c r="A138" s="153"/>
      <c r="B138" s="410"/>
      <c r="C138" s="408"/>
      <c r="D138" s="409"/>
      <c r="E138" s="409"/>
      <c r="F138" s="410"/>
      <c r="G138" s="672"/>
      <c r="H138" s="672"/>
      <c r="I138" s="672"/>
      <c r="J138" s="672"/>
      <c r="K138" s="651"/>
      <c r="L138" s="651"/>
      <c r="M138" s="652"/>
      <c r="N138" s="658"/>
      <c r="O138" s="899"/>
      <c r="P138" s="928"/>
      <c r="Q138" s="938"/>
      <c r="R138" s="857"/>
      <c r="S138" s="857"/>
    </row>
    <row r="139" spans="1:19" s="149" customFormat="1" ht="61" thickBot="1">
      <c r="A139" s="153"/>
      <c r="B139" s="412">
        <v>3.1</v>
      </c>
      <c r="C139" s="413" t="s">
        <v>142</v>
      </c>
      <c r="D139" s="404"/>
      <c r="E139" s="414" t="s">
        <v>143</v>
      </c>
      <c r="F139" s="414" t="s">
        <v>143</v>
      </c>
      <c r="G139" s="673" t="s">
        <v>143</v>
      </c>
      <c r="H139" s="673" t="s">
        <v>143</v>
      </c>
      <c r="I139" s="673" t="s">
        <v>143</v>
      </c>
      <c r="J139" s="673"/>
      <c r="K139" s="674" t="str">
        <f>I139</f>
        <v>Minimum Charges Payable per month or part thereof</v>
      </c>
      <c r="L139" s="674" t="str">
        <f>K139</f>
        <v>Minimum Charges Payable per month or part thereof</v>
      </c>
      <c r="M139" s="675" t="str">
        <f>L139</f>
        <v>Minimum Charges Payable per month or part thereof</v>
      </c>
      <c r="N139" s="676"/>
      <c r="O139" s="900"/>
      <c r="P139" s="929"/>
      <c r="Q139" s="938"/>
      <c r="R139" s="857"/>
      <c r="S139" s="857"/>
    </row>
    <row r="140" spans="1:19" s="149" customFormat="1" ht="46" thickBot="1">
      <c r="A140" s="168"/>
      <c r="B140" s="412" t="s">
        <v>144</v>
      </c>
      <c r="C140" s="407" t="s">
        <v>145</v>
      </c>
      <c r="D140" s="404"/>
      <c r="E140" s="404"/>
      <c r="F140" s="404"/>
      <c r="G140" s="740"/>
      <c r="H140" s="740"/>
      <c r="I140" s="740"/>
      <c r="J140" s="740"/>
      <c r="K140" s="690"/>
      <c r="L140" s="690"/>
      <c r="M140" s="741"/>
      <c r="N140" s="742"/>
      <c r="O140" s="901"/>
      <c r="P140" s="930"/>
      <c r="Q140" s="938"/>
      <c r="R140" s="857"/>
      <c r="S140" s="857"/>
    </row>
    <row r="141" spans="1:19" s="149" customFormat="1" ht="16" thickBot="1">
      <c r="A141" s="154"/>
      <c r="B141" s="415" t="s">
        <v>146</v>
      </c>
      <c r="C141" s="416" t="s">
        <v>147</v>
      </c>
      <c r="D141" s="417"/>
      <c r="E141" s="403">
        <v>87.612799999999993</v>
      </c>
      <c r="F141" s="323">
        <f>E141*106.9/100</f>
        <v>93.658083200000007</v>
      </c>
      <c r="G141" s="656">
        <f>F141*106.4/100</f>
        <v>99.652200524800008</v>
      </c>
      <c r="H141" s="656">
        <f>G141*5.3%+G141</f>
        <v>104.93376715261441</v>
      </c>
      <c r="I141" s="656">
        <f t="shared" ref="I141" si="95">H141*5.3%+H141</f>
        <v>110.49525681170297</v>
      </c>
      <c r="J141" s="656">
        <f>I141-I141*0.08</f>
        <v>101.65563626676673</v>
      </c>
      <c r="K141" s="656">
        <f>I141*5.4%+I141</f>
        <v>116.46200067953494</v>
      </c>
      <c r="L141" s="656">
        <f>K141*10%+K141</f>
        <v>128.10820074748844</v>
      </c>
      <c r="M141" s="656">
        <f>L141*5%+L141</f>
        <v>134.51361078486286</v>
      </c>
      <c r="N141" s="656">
        <f t="shared" ref="N141:N173" si="96">M141*5.3%+M141</f>
        <v>141.6428321564606</v>
      </c>
      <c r="O141" s="687">
        <f t="shared" ref="O141:O173" si="97">N141*4.9%+N141</f>
        <v>148.58333093212718</v>
      </c>
      <c r="P141" s="688">
        <f t="shared" ref="P141:P173" si="98">O141*4.4%+O141</f>
        <v>155.12099749314078</v>
      </c>
      <c r="Q141" s="938">
        <f t="shared" ref="Q141:Q173" si="99">O141*3.7%+O141</f>
        <v>154.08091417661589</v>
      </c>
      <c r="R141" s="857">
        <f t="shared" ref="R141:R173" si="100">Q141*3.3%+Q141</f>
        <v>159.16558434444423</v>
      </c>
      <c r="S141" s="857">
        <f t="shared" ref="S141:S173" si="101">R141*3.2%+R141</f>
        <v>164.25888304346645</v>
      </c>
    </row>
    <row r="142" spans="1:19" s="149" customFormat="1" ht="31" thickBot="1">
      <c r="A142" s="154"/>
      <c r="B142" s="415" t="s">
        <v>148</v>
      </c>
      <c r="C142" s="416" t="s">
        <v>149</v>
      </c>
      <c r="D142" s="417"/>
      <c r="E142" s="405"/>
      <c r="F142" s="405"/>
      <c r="G142" s="656"/>
      <c r="H142" s="656"/>
      <c r="I142" s="656"/>
      <c r="J142" s="656">
        <f t="shared" ref="J142:J173" si="102">I142-I142*0.08</f>
        <v>0</v>
      </c>
      <c r="K142" s="656"/>
      <c r="L142" s="656"/>
      <c r="M142" s="656"/>
      <c r="N142" s="656">
        <f t="shared" si="96"/>
        <v>0</v>
      </c>
      <c r="O142" s="687">
        <f t="shared" si="97"/>
        <v>0</v>
      </c>
      <c r="P142" s="688">
        <f t="shared" si="98"/>
        <v>0</v>
      </c>
      <c r="Q142" s="938">
        <f t="shared" si="99"/>
        <v>0</v>
      </c>
      <c r="R142" s="857">
        <f t="shared" si="100"/>
        <v>0</v>
      </c>
      <c r="S142" s="857">
        <f t="shared" si="101"/>
        <v>0</v>
      </c>
    </row>
    <row r="143" spans="1:19" s="149" customFormat="1" ht="16" thickBot="1">
      <c r="A143" s="154"/>
      <c r="B143" s="407" t="s">
        <v>150</v>
      </c>
      <c r="C143" s="406" t="s">
        <v>151</v>
      </c>
      <c r="D143" s="418"/>
      <c r="E143" s="403">
        <v>3417.3184000000001</v>
      </c>
      <c r="F143" s="323">
        <f>E143*106.9/100</f>
        <v>3653.1133696000006</v>
      </c>
      <c r="G143" s="656">
        <f>F143*106.4/100</f>
        <v>3886.9126252544006</v>
      </c>
      <c r="H143" s="656">
        <f t="shared" ref="H143:I143" si="103">G143*5.3%+G143</f>
        <v>4092.9189943928836</v>
      </c>
      <c r="I143" s="656">
        <f t="shared" si="103"/>
        <v>4309.8437010957068</v>
      </c>
      <c r="J143" s="656">
        <f t="shared" si="102"/>
        <v>3965.0562050080503</v>
      </c>
      <c r="K143" s="656">
        <f>I143*5.4%+I143</f>
        <v>4542.5752609548754</v>
      </c>
      <c r="L143" s="656">
        <f>K143*10%+K143</f>
        <v>4996.8327870503626</v>
      </c>
      <c r="M143" s="656">
        <f>L143*5%+L143</f>
        <v>5246.6744264028812</v>
      </c>
      <c r="N143" s="656">
        <f t="shared" si="96"/>
        <v>5524.7481710022339</v>
      </c>
      <c r="O143" s="687">
        <f t="shared" si="97"/>
        <v>5795.4608313813433</v>
      </c>
      <c r="P143" s="688">
        <f t="shared" si="98"/>
        <v>6050.4611079621227</v>
      </c>
      <c r="Q143" s="938">
        <f t="shared" si="99"/>
        <v>6009.8928821424533</v>
      </c>
      <c r="R143" s="857">
        <f t="shared" si="100"/>
        <v>6208.2193472531544</v>
      </c>
      <c r="S143" s="857">
        <f t="shared" si="101"/>
        <v>6406.8823663652556</v>
      </c>
    </row>
    <row r="144" spans="1:19" s="149" customFormat="1" ht="31" thickBot="1">
      <c r="A144" s="154"/>
      <c r="B144" s="407" t="s">
        <v>152</v>
      </c>
      <c r="C144" s="406" t="s">
        <v>153</v>
      </c>
      <c r="D144" s="418"/>
      <c r="E144" s="403"/>
      <c r="F144" s="403"/>
      <c r="G144" s="656"/>
      <c r="H144" s="656"/>
      <c r="I144" s="656"/>
      <c r="J144" s="656">
        <f t="shared" si="102"/>
        <v>0</v>
      </c>
      <c r="K144" s="656"/>
      <c r="L144" s="656"/>
      <c r="M144" s="656"/>
      <c r="N144" s="656">
        <f t="shared" si="96"/>
        <v>0</v>
      </c>
      <c r="O144" s="687">
        <f t="shared" si="97"/>
        <v>0</v>
      </c>
      <c r="P144" s="688">
        <f t="shared" si="98"/>
        <v>0</v>
      </c>
      <c r="Q144" s="938">
        <f t="shared" si="99"/>
        <v>0</v>
      </c>
      <c r="R144" s="857">
        <f t="shared" si="100"/>
        <v>0</v>
      </c>
      <c r="S144" s="857">
        <f t="shared" si="101"/>
        <v>0</v>
      </c>
    </row>
    <row r="145" spans="1:19" s="149" customFormat="1" ht="16" thickBot="1">
      <c r="A145" s="154"/>
      <c r="B145" s="407" t="s">
        <v>146</v>
      </c>
      <c r="C145" s="419" t="s">
        <v>154</v>
      </c>
      <c r="D145" s="418"/>
      <c r="E145" s="403">
        <v>192.99968000000001</v>
      </c>
      <c r="F145" s="323">
        <f t="shared" ref="F145:F149" si="104">E145*106.9/100</f>
        <v>206.31665792000004</v>
      </c>
      <c r="G145" s="656">
        <f>F145*106.4/100</f>
        <v>219.52092402688007</v>
      </c>
      <c r="H145" s="656">
        <f t="shared" ref="H145:I145" si="105">G145*5.3%+G145</f>
        <v>231.1555330003047</v>
      </c>
      <c r="I145" s="656">
        <f t="shared" si="105"/>
        <v>243.40677624932084</v>
      </c>
      <c r="J145" s="656">
        <f t="shared" si="102"/>
        <v>223.93423414937519</v>
      </c>
      <c r="K145" s="656">
        <f>I145*5.4%+I145</f>
        <v>256.55074216678418</v>
      </c>
      <c r="L145" s="656">
        <f t="shared" ref="L145:L149" si="106">K145*10%+K145</f>
        <v>282.2058163834626</v>
      </c>
      <c r="M145" s="656">
        <f>L145*5%+L145</f>
        <v>296.31610720263575</v>
      </c>
      <c r="N145" s="656">
        <f t="shared" si="96"/>
        <v>312.02086088437545</v>
      </c>
      <c r="O145" s="687">
        <f t="shared" si="97"/>
        <v>327.30988306770985</v>
      </c>
      <c r="P145" s="688">
        <f t="shared" si="98"/>
        <v>341.7115179226891</v>
      </c>
      <c r="Q145" s="938">
        <f t="shared" si="99"/>
        <v>339.42034874121509</v>
      </c>
      <c r="R145" s="857">
        <f t="shared" si="100"/>
        <v>350.62122024967522</v>
      </c>
      <c r="S145" s="857">
        <f t="shared" si="101"/>
        <v>361.84109929766481</v>
      </c>
    </row>
    <row r="146" spans="1:19" s="149" customFormat="1" ht="16" thickBot="1">
      <c r="A146" s="154"/>
      <c r="B146" s="407" t="s">
        <v>148</v>
      </c>
      <c r="C146" s="419" t="s">
        <v>155</v>
      </c>
      <c r="D146" s="418"/>
      <c r="E146" s="403">
        <v>91.909600000000012</v>
      </c>
      <c r="F146" s="323">
        <f t="shared" si="104"/>
        <v>98.251362400000019</v>
      </c>
      <c r="G146" s="656">
        <f>F146*106.4/100</f>
        <v>104.53944959360003</v>
      </c>
      <c r="H146" s="656">
        <f t="shared" ref="H146:I146" si="107">G146*5.3%+G146</f>
        <v>110.08004042206083</v>
      </c>
      <c r="I146" s="656">
        <f t="shared" si="107"/>
        <v>115.91428256443005</v>
      </c>
      <c r="J146" s="656">
        <f t="shared" si="102"/>
        <v>106.64113995927565</v>
      </c>
      <c r="K146" s="656">
        <f>I146*5.4%+I146</f>
        <v>122.17365382290927</v>
      </c>
      <c r="L146" s="656">
        <f t="shared" si="106"/>
        <v>134.39101920520019</v>
      </c>
      <c r="M146" s="656">
        <f>L146*5%+L146</f>
        <v>141.11057016546022</v>
      </c>
      <c r="N146" s="656">
        <f t="shared" si="96"/>
        <v>148.58943038422962</v>
      </c>
      <c r="O146" s="687">
        <f t="shared" si="97"/>
        <v>155.87031247305686</v>
      </c>
      <c r="P146" s="688">
        <f t="shared" si="98"/>
        <v>162.72860622187136</v>
      </c>
      <c r="Q146" s="938">
        <f t="shared" si="99"/>
        <v>161.63751403455996</v>
      </c>
      <c r="R146" s="857">
        <f t="shared" si="100"/>
        <v>166.97155199770043</v>
      </c>
      <c r="S146" s="857">
        <f t="shared" si="101"/>
        <v>172.31464166162684</v>
      </c>
    </row>
    <row r="147" spans="1:19" s="149" customFormat="1" ht="31" thickBot="1">
      <c r="A147" s="154"/>
      <c r="B147" s="407" t="s">
        <v>156</v>
      </c>
      <c r="C147" s="419" t="s">
        <v>157</v>
      </c>
      <c r="D147" s="418"/>
      <c r="E147" s="403">
        <v>68.926959999999994</v>
      </c>
      <c r="F147" s="323">
        <f t="shared" si="104"/>
        <v>73.682920239999987</v>
      </c>
      <c r="G147" s="656">
        <f>F147*106.4/100</f>
        <v>78.398627135359988</v>
      </c>
      <c r="H147" s="656">
        <f t="shared" ref="H147:I147" si="108">G147*5.3%+G147</f>
        <v>82.553754373534062</v>
      </c>
      <c r="I147" s="656">
        <f t="shared" si="108"/>
        <v>86.929103355331364</v>
      </c>
      <c r="J147" s="656">
        <f t="shared" si="102"/>
        <v>79.974775086904856</v>
      </c>
      <c r="K147" s="656">
        <f>I147*5.4%+I147</f>
        <v>91.623274936519252</v>
      </c>
      <c r="L147" s="656">
        <f t="shared" si="106"/>
        <v>100.78560243017118</v>
      </c>
      <c r="M147" s="656">
        <f>L147*5%+L147</f>
        <v>105.82488255167974</v>
      </c>
      <c r="N147" s="656">
        <f t="shared" si="96"/>
        <v>111.43360132691876</v>
      </c>
      <c r="O147" s="687">
        <f t="shared" si="97"/>
        <v>116.89384779193779</v>
      </c>
      <c r="P147" s="688">
        <f t="shared" si="98"/>
        <v>122.03717709478305</v>
      </c>
      <c r="Q147" s="938">
        <f t="shared" si="99"/>
        <v>121.21892016023949</v>
      </c>
      <c r="R147" s="857">
        <f t="shared" si="100"/>
        <v>125.2191445255274</v>
      </c>
      <c r="S147" s="857">
        <f t="shared" si="101"/>
        <v>129.22615715034428</v>
      </c>
    </row>
    <row r="148" spans="1:19" s="149" customFormat="1" ht="16" thickBot="1">
      <c r="A148" s="154"/>
      <c r="B148" s="407" t="s">
        <v>158</v>
      </c>
      <c r="C148" s="406" t="s">
        <v>159</v>
      </c>
      <c r="D148" s="418"/>
      <c r="E148" s="403">
        <v>99.56</v>
      </c>
      <c r="F148" s="323">
        <f t="shared" si="104"/>
        <v>106.42964000000001</v>
      </c>
      <c r="G148" s="656">
        <f>F148*106.4/100</f>
        <v>113.24113696000002</v>
      </c>
      <c r="H148" s="656">
        <f t="shared" ref="H148:I148" si="109">G148*5.3%+G148</f>
        <v>119.24291721888002</v>
      </c>
      <c r="I148" s="656">
        <f t="shared" si="109"/>
        <v>125.56279183148067</v>
      </c>
      <c r="J148" s="656">
        <f t="shared" si="102"/>
        <v>115.51776848496222</v>
      </c>
      <c r="K148" s="656">
        <f>I148*5.4%+I148</f>
        <v>132.34318259038062</v>
      </c>
      <c r="L148" s="656">
        <f t="shared" si="106"/>
        <v>145.5775008494187</v>
      </c>
      <c r="M148" s="656">
        <f>L148*5%+L148</f>
        <v>152.85637589188963</v>
      </c>
      <c r="N148" s="656">
        <f t="shared" si="96"/>
        <v>160.95776381415979</v>
      </c>
      <c r="O148" s="687">
        <f t="shared" si="97"/>
        <v>168.84469424105362</v>
      </c>
      <c r="P148" s="688">
        <f t="shared" si="98"/>
        <v>176.27386078765997</v>
      </c>
      <c r="Q148" s="938">
        <f t="shared" si="99"/>
        <v>175.0919479279726</v>
      </c>
      <c r="R148" s="857">
        <f t="shared" si="100"/>
        <v>180.86998220959569</v>
      </c>
      <c r="S148" s="857">
        <f t="shared" si="101"/>
        <v>186.65782164030276</v>
      </c>
    </row>
    <row r="149" spans="1:19" s="149" customFormat="1" ht="16" thickBot="1">
      <c r="A149" s="154"/>
      <c r="B149" s="415" t="s">
        <v>156</v>
      </c>
      <c r="C149" s="416" t="s">
        <v>160</v>
      </c>
      <c r="D149" s="417"/>
      <c r="E149" s="403">
        <v>382.93919999999997</v>
      </c>
      <c r="F149" s="323">
        <f t="shared" si="104"/>
        <v>409.36200480000002</v>
      </c>
      <c r="G149" s="656">
        <f>F149*106.4/100</f>
        <v>435.56117310720003</v>
      </c>
      <c r="H149" s="656">
        <f t="shared" ref="H149:I149" si="110">G149*5.3%+G149</f>
        <v>458.64591528188163</v>
      </c>
      <c r="I149" s="656">
        <f t="shared" si="110"/>
        <v>482.95414879182135</v>
      </c>
      <c r="J149" s="656">
        <f t="shared" si="102"/>
        <v>444.31781688847565</v>
      </c>
      <c r="K149" s="656">
        <f>I149*5.4%+I149</f>
        <v>509.03367282657973</v>
      </c>
      <c r="L149" s="656">
        <f t="shared" si="106"/>
        <v>559.93704010923773</v>
      </c>
      <c r="M149" s="656">
        <f>L149*5%+L149</f>
        <v>587.93389211469957</v>
      </c>
      <c r="N149" s="656">
        <f t="shared" si="96"/>
        <v>619.09438839677864</v>
      </c>
      <c r="O149" s="687">
        <f t="shared" si="97"/>
        <v>649.43001342822083</v>
      </c>
      <c r="P149" s="688">
        <f t="shared" si="98"/>
        <v>678.0049340190626</v>
      </c>
      <c r="Q149" s="938">
        <f t="shared" si="99"/>
        <v>673.45892392506505</v>
      </c>
      <c r="R149" s="857">
        <f t="shared" si="100"/>
        <v>695.68306841459219</v>
      </c>
      <c r="S149" s="857">
        <f t="shared" si="101"/>
        <v>717.94492660385913</v>
      </c>
    </row>
    <row r="150" spans="1:19" s="149" customFormat="1" ht="16" thickBot="1">
      <c r="A150" s="154"/>
      <c r="B150" s="415" t="s">
        <v>161</v>
      </c>
      <c r="C150" s="416" t="s">
        <v>162</v>
      </c>
      <c r="D150" s="417"/>
      <c r="E150" s="403"/>
      <c r="F150" s="403"/>
      <c r="G150" s="656"/>
      <c r="H150" s="656"/>
      <c r="I150" s="656"/>
      <c r="J150" s="656">
        <f t="shared" si="102"/>
        <v>0</v>
      </c>
      <c r="K150" s="656"/>
      <c r="L150" s="656"/>
      <c r="M150" s="656"/>
      <c r="N150" s="656">
        <f t="shared" si="96"/>
        <v>0</v>
      </c>
      <c r="O150" s="687">
        <f t="shared" si="97"/>
        <v>0</v>
      </c>
      <c r="P150" s="688">
        <f t="shared" si="98"/>
        <v>0</v>
      </c>
      <c r="Q150" s="938">
        <f t="shared" si="99"/>
        <v>0</v>
      </c>
      <c r="R150" s="857">
        <f t="shared" si="100"/>
        <v>0</v>
      </c>
      <c r="S150" s="857">
        <f t="shared" si="101"/>
        <v>0</v>
      </c>
    </row>
    <row r="151" spans="1:19" s="149" customFormat="1" ht="16" thickBot="1">
      <c r="A151" s="154"/>
      <c r="B151" s="407" t="s">
        <v>150</v>
      </c>
      <c r="C151" s="406" t="s">
        <v>163</v>
      </c>
      <c r="D151" s="418"/>
      <c r="E151" s="403">
        <v>205.73287999999999</v>
      </c>
      <c r="F151" s="323">
        <f t="shared" ref="F151:F153" si="111">E151*106.9/100</f>
        <v>219.92844872000001</v>
      </c>
      <c r="G151" s="656">
        <f>F151*106.4/100</f>
        <v>234.00386943807999</v>
      </c>
      <c r="H151" s="656">
        <f t="shared" ref="H151:I151" si="112">G151*5.3%+G151</f>
        <v>246.40607451829823</v>
      </c>
      <c r="I151" s="656">
        <f t="shared" si="112"/>
        <v>259.46559646776802</v>
      </c>
      <c r="J151" s="656">
        <f t="shared" si="102"/>
        <v>238.70834875034657</v>
      </c>
      <c r="K151" s="656">
        <f>I151*5.4%+I151</f>
        <v>273.47673867702747</v>
      </c>
      <c r="L151" s="656">
        <f t="shared" ref="L151:L153" si="113">K151*10%+K151</f>
        <v>300.82441254473019</v>
      </c>
      <c r="M151" s="656">
        <f>L151*5%+L151</f>
        <v>315.86563317196669</v>
      </c>
      <c r="N151" s="656">
        <f t="shared" si="96"/>
        <v>332.60651173008091</v>
      </c>
      <c r="O151" s="687">
        <f t="shared" si="97"/>
        <v>348.90423080485488</v>
      </c>
      <c r="P151" s="688">
        <f t="shared" si="98"/>
        <v>364.25601696026848</v>
      </c>
      <c r="Q151" s="938">
        <f t="shared" si="99"/>
        <v>361.8136873446345</v>
      </c>
      <c r="R151" s="857">
        <f t="shared" si="100"/>
        <v>373.75353902700743</v>
      </c>
      <c r="S151" s="857">
        <f t="shared" si="101"/>
        <v>385.71365227587165</v>
      </c>
    </row>
    <row r="152" spans="1:19" s="149" customFormat="1" ht="16" thickBot="1">
      <c r="A152" s="154"/>
      <c r="B152" s="407" t="s">
        <v>152</v>
      </c>
      <c r="C152" s="406" t="s">
        <v>164</v>
      </c>
      <c r="D152" s="418"/>
      <c r="E152" s="403">
        <v>100.20976</v>
      </c>
      <c r="F152" s="323">
        <f t="shared" si="111"/>
        <v>107.12423344000001</v>
      </c>
      <c r="G152" s="656">
        <f>F152*106.4/100</f>
        <v>113.98018438016003</v>
      </c>
      <c r="H152" s="656">
        <f t="shared" ref="H152:I152" si="114">G152*5.3%+G152</f>
        <v>120.02113415230851</v>
      </c>
      <c r="I152" s="656">
        <f t="shared" si="114"/>
        <v>126.38225426238085</v>
      </c>
      <c r="J152" s="656">
        <f t="shared" si="102"/>
        <v>116.27167392139039</v>
      </c>
      <c r="K152" s="656">
        <f>I152*5.4%+I152</f>
        <v>133.20689599254942</v>
      </c>
      <c r="L152" s="656">
        <f t="shared" si="113"/>
        <v>146.52758559180435</v>
      </c>
      <c r="M152" s="656">
        <f>L152*5%+L152</f>
        <v>153.85396487139457</v>
      </c>
      <c r="N152" s="656">
        <f t="shared" si="96"/>
        <v>162.00822500957847</v>
      </c>
      <c r="O152" s="687">
        <f t="shared" si="97"/>
        <v>169.94662803504781</v>
      </c>
      <c r="P152" s="688">
        <f t="shared" si="98"/>
        <v>177.42427966858992</v>
      </c>
      <c r="Q152" s="938">
        <f t="shared" si="99"/>
        <v>176.23465327234459</v>
      </c>
      <c r="R152" s="857">
        <f t="shared" si="100"/>
        <v>182.05039683033195</v>
      </c>
      <c r="S152" s="857">
        <f t="shared" si="101"/>
        <v>187.87600952890256</v>
      </c>
    </row>
    <row r="153" spans="1:19" s="149" customFormat="1" ht="16" thickBot="1">
      <c r="A153" s="154"/>
      <c r="B153" s="407" t="s">
        <v>158</v>
      </c>
      <c r="C153" s="406" t="s">
        <v>165</v>
      </c>
      <c r="D153" s="418"/>
      <c r="E153" s="403">
        <v>62.83</v>
      </c>
      <c r="F153" s="323">
        <f t="shared" si="111"/>
        <v>67.165270000000007</v>
      </c>
      <c r="G153" s="656">
        <f>F153*106.4/100</f>
        <v>71.46384728000001</v>
      </c>
      <c r="H153" s="656">
        <f t="shared" ref="H153:I153" si="115">G153*5.3%+G153</f>
        <v>75.251431185840005</v>
      </c>
      <c r="I153" s="656">
        <f t="shared" si="115"/>
        <v>79.239757038689518</v>
      </c>
      <c r="J153" s="656">
        <f t="shared" si="102"/>
        <v>72.900576475594363</v>
      </c>
      <c r="K153" s="656">
        <f>I153*5.4%+I153</f>
        <v>83.518703918778755</v>
      </c>
      <c r="L153" s="656">
        <f t="shared" si="113"/>
        <v>91.870574310656636</v>
      </c>
      <c r="M153" s="656">
        <f>L153*5%+L153</f>
        <v>96.464103026189463</v>
      </c>
      <c r="N153" s="656">
        <f t="shared" si="96"/>
        <v>101.57670048657751</v>
      </c>
      <c r="O153" s="687">
        <f t="shared" si="97"/>
        <v>106.5539588104198</v>
      </c>
      <c r="P153" s="688">
        <f t="shared" si="98"/>
        <v>111.24233299807827</v>
      </c>
      <c r="Q153" s="938">
        <f t="shared" si="99"/>
        <v>110.49645528640534</v>
      </c>
      <c r="R153" s="857">
        <f t="shared" si="100"/>
        <v>114.14283831085672</v>
      </c>
      <c r="S153" s="857">
        <f t="shared" si="101"/>
        <v>117.79540913680414</v>
      </c>
    </row>
    <row r="154" spans="1:19" s="149" customFormat="1" ht="16" thickBot="1">
      <c r="A154" s="154"/>
      <c r="B154" s="415" t="s">
        <v>166</v>
      </c>
      <c r="C154" s="416" t="s">
        <v>167</v>
      </c>
      <c r="D154" s="417"/>
      <c r="E154" s="405"/>
      <c r="F154" s="405"/>
      <c r="G154" s="656"/>
      <c r="H154" s="656"/>
      <c r="I154" s="656"/>
      <c r="J154" s="656">
        <f t="shared" si="102"/>
        <v>0</v>
      </c>
      <c r="K154" s="656"/>
      <c r="L154" s="656"/>
      <c r="M154" s="656"/>
      <c r="N154" s="656">
        <f t="shared" si="96"/>
        <v>0</v>
      </c>
      <c r="O154" s="687">
        <f t="shared" si="97"/>
        <v>0</v>
      </c>
      <c r="P154" s="688">
        <f t="shared" si="98"/>
        <v>0</v>
      </c>
      <c r="Q154" s="938">
        <f t="shared" si="99"/>
        <v>0</v>
      </c>
      <c r="R154" s="857">
        <f t="shared" si="100"/>
        <v>0</v>
      </c>
      <c r="S154" s="857">
        <f t="shared" si="101"/>
        <v>0</v>
      </c>
    </row>
    <row r="155" spans="1:19" s="149" customFormat="1" ht="16" thickBot="1">
      <c r="A155" s="154"/>
      <c r="B155" s="407"/>
      <c r="C155" s="406" t="s">
        <v>168</v>
      </c>
      <c r="D155" s="418"/>
      <c r="E155" s="403">
        <v>9.64</v>
      </c>
      <c r="F155" s="323">
        <f>E155*106.9/100</f>
        <v>10.305160000000001</v>
      </c>
      <c r="G155" s="656">
        <f>F155*106.4/100</f>
        <v>10.964690240000003</v>
      </c>
      <c r="H155" s="656">
        <f t="shared" ref="H155:I155" si="116">G155*5.3%+G155</f>
        <v>11.545818822720003</v>
      </c>
      <c r="I155" s="656">
        <f t="shared" si="116"/>
        <v>12.157747220324163</v>
      </c>
      <c r="J155" s="656">
        <f t="shared" si="102"/>
        <v>11.18512744269823</v>
      </c>
      <c r="K155" s="656">
        <f>I155*5.4%+I155</f>
        <v>12.814265570221668</v>
      </c>
      <c r="L155" s="656">
        <f>K155*10%+K155</f>
        <v>14.095692127243835</v>
      </c>
      <c r="M155" s="656">
        <f>L155*5%+L155</f>
        <v>14.800476733606027</v>
      </c>
      <c r="N155" s="656">
        <f t="shared" si="96"/>
        <v>15.584902000487146</v>
      </c>
      <c r="O155" s="687">
        <f t="shared" si="97"/>
        <v>16.348562198511015</v>
      </c>
      <c r="P155" s="688">
        <f t="shared" si="98"/>
        <v>17.067898935245498</v>
      </c>
      <c r="Q155" s="938">
        <f t="shared" si="99"/>
        <v>16.953458999855922</v>
      </c>
      <c r="R155" s="857">
        <f t="shared" si="100"/>
        <v>17.512923146851168</v>
      </c>
      <c r="S155" s="857">
        <f t="shared" si="101"/>
        <v>18.073336687550405</v>
      </c>
    </row>
    <row r="156" spans="1:19" s="149" customFormat="1" ht="46" thickBot="1">
      <c r="A156" s="154"/>
      <c r="B156" s="407"/>
      <c r="C156" s="406" t="s">
        <v>169</v>
      </c>
      <c r="D156" s="418"/>
      <c r="E156" s="403"/>
      <c r="F156" s="403"/>
      <c r="G156" s="656"/>
      <c r="H156" s="656"/>
      <c r="I156" s="656"/>
      <c r="J156" s="656">
        <f t="shared" si="102"/>
        <v>0</v>
      </c>
      <c r="K156" s="656"/>
      <c r="L156" s="656"/>
      <c r="M156" s="656"/>
      <c r="N156" s="656">
        <f t="shared" si="96"/>
        <v>0</v>
      </c>
      <c r="O156" s="687">
        <f t="shared" si="97"/>
        <v>0</v>
      </c>
      <c r="P156" s="688">
        <f t="shared" si="98"/>
        <v>0</v>
      </c>
      <c r="Q156" s="938">
        <f t="shared" si="99"/>
        <v>0</v>
      </c>
      <c r="R156" s="857">
        <f t="shared" si="100"/>
        <v>0</v>
      </c>
      <c r="S156" s="857">
        <f t="shared" si="101"/>
        <v>0</v>
      </c>
    </row>
    <row r="157" spans="1:19" s="149" customFormat="1" ht="16" thickBot="1">
      <c r="A157" s="154"/>
      <c r="B157" s="415" t="s">
        <v>170</v>
      </c>
      <c r="C157" s="416" t="s">
        <v>171</v>
      </c>
      <c r="D157" s="417"/>
      <c r="E157" s="403"/>
      <c r="F157" s="403"/>
      <c r="G157" s="656"/>
      <c r="H157" s="656"/>
      <c r="I157" s="656"/>
      <c r="J157" s="656">
        <f t="shared" si="102"/>
        <v>0</v>
      </c>
      <c r="K157" s="656"/>
      <c r="L157" s="656"/>
      <c r="M157" s="656"/>
      <c r="N157" s="656">
        <f t="shared" si="96"/>
        <v>0</v>
      </c>
      <c r="O157" s="687">
        <f t="shared" si="97"/>
        <v>0</v>
      </c>
      <c r="P157" s="688">
        <f t="shared" si="98"/>
        <v>0</v>
      </c>
      <c r="Q157" s="938">
        <f t="shared" si="99"/>
        <v>0</v>
      </c>
      <c r="R157" s="857">
        <f t="shared" si="100"/>
        <v>0</v>
      </c>
      <c r="S157" s="857">
        <f t="shared" si="101"/>
        <v>0</v>
      </c>
    </row>
    <row r="158" spans="1:19" s="149" customFormat="1" ht="31" thickBot="1">
      <c r="A158" s="154"/>
      <c r="B158" s="415" t="s">
        <v>146</v>
      </c>
      <c r="C158" s="406" t="s">
        <v>172</v>
      </c>
      <c r="D158" s="418"/>
      <c r="E158" s="403">
        <v>613.87</v>
      </c>
      <c r="F158" s="323">
        <f t="shared" ref="F158:F159" si="117">E158*106.9/100</f>
        <v>656.22703000000013</v>
      </c>
      <c r="G158" s="656">
        <f>F158*106.4/100</f>
        <v>698.22555992000025</v>
      </c>
      <c r="H158" s="656">
        <f t="shared" ref="H158:I158" si="118">G158*5.3%+G158</f>
        <v>735.23151459576025</v>
      </c>
      <c r="I158" s="656">
        <f t="shared" si="118"/>
        <v>774.19878486933555</v>
      </c>
      <c r="J158" s="656">
        <f t="shared" si="102"/>
        <v>712.26288207978871</v>
      </c>
      <c r="K158" s="656">
        <f>I158*5.4%+I158</f>
        <v>816.00551925227967</v>
      </c>
      <c r="L158" s="656">
        <f>K158*10%+K158</f>
        <v>897.6060711775076</v>
      </c>
      <c r="M158" s="656">
        <f>L158*5%+L158</f>
        <v>942.48637473638303</v>
      </c>
      <c r="N158" s="656">
        <f t="shared" si="96"/>
        <v>992.43815259741132</v>
      </c>
      <c r="O158" s="687">
        <f t="shared" si="97"/>
        <v>1041.0676220746846</v>
      </c>
      <c r="P158" s="688">
        <f t="shared" si="98"/>
        <v>1086.8745974459707</v>
      </c>
      <c r="Q158" s="938">
        <f t="shared" si="99"/>
        <v>1079.5871240914478</v>
      </c>
      <c r="R158" s="857">
        <f t="shared" si="100"/>
        <v>1115.2134991864655</v>
      </c>
      <c r="S158" s="857">
        <f t="shared" si="101"/>
        <v>1150.9003311604324</v>
      </c>
    </row>
    <row r="159" spans="1:19" s="149" customFormat="1" ht="31" thickBot="1">
      <c r="A159" s="154"/>
      <c r="B159" s="415" t="s">
        <v>148</v>
      </c>
      <c r="C159" s="406" t="s">
        <v>173</v>
      </c>
      <c r="D159" s="418"/>
      <c r="E159" s="403">
        <v>920.8</v>
      </c>
      <c r="F159" s="323">
        <f t="shared" si="117"/>
        <v>984.33519999999999</v>
      </c>
      <c r="G159" s="656">
        <f>F159*106.4/100</f>
        <v>1047.3326528</v>
      </c>
      <c r="H159" s="656">
        <f t="shared" ref="H159:I159" si="119">G159*5.3%+G159</f>
        <v>1102.8412833984</v>
      </c>
      <c r="I159" s="656">
        <f t="shared" si="119"/>
        <v>1161.2918714185153</v>
      </c>
      <c r="J159" s="656">
        <f t="shared" si="102"/>
        <v>1068.388521705034</v>
      </c>
      <c r="K159" s="656">
        <f>I159*5.4%+I159</f>
        <v>1224.001632475115</v>
      </c>
      <c r="L159" s="656">
        <f>K159*10%+K159</f>
        <v>1346.4017957226265</v>
      </c>
      <c r="M159" s="656">
        <f>L159*5%+L159</f>
        <v>1413.7218855087579</v>
      </c>
      <c r="N159" s="656">
        <f t="shared" si="96"/>
        <v>1488.6491454407219</v>
      </c>
      <c r="O159" s="687">
        <f t="shared" si="97"/>
        <v>1561.5929535673172</v>
      </c>
      <c r="P159" s="688">
        <f t="shared" si="98"/>
        <v>1630.3030435242792</v>
      </c>
      <c r="Q159" s="938">
        <f t="shared" si="99"/>
        <v>1619.3718928493079</v>
      </c>
      <c r="R159" s="857">
        <f t="shared" si="100"/>
        <v>1672.8111653133351</v>
      </c>
      <c r="S159" s="857">
        <f t="shared" si="101"/>
        <v>1726.3411226033618</v>
      </c>
    </row>
    <row r="160" spans="1:19" s="149" customFormat="1" ht="15" thickBot="1">
      <c r="A160" s="154"/>
      <c r="B160" s="407"/>
      <c r="C160" s="406"/>
      <c r="D160" s="418"/>
      <c r="E160" s="403"/>
      <c r="F160" s="403"/>
      <c r="G160" s="656"/>
      <c r="H160" s="656"/>
      <c r="I160" s="656"/>
      <c r="J160" s="656">
        <f t="shared" si="102"/>
        <v>0</v>
      </c>
      <c r="K160" s="656"/>
      <c r="L160" s="656"/>
      <c r="M160" s="656"/>
      <c r="N160" s="656">
        <f t="shared" si="96"/>
        <v>0</v>
      </c>
      <c r="O160" s="687">
        <f t="shared" si="97"/>
        <v>0</v>
      </c>
      <c r="P160" s="688">
        <f t="shared" si="98"/>
        <v>0</v>
      </c>
      <c r="Q160" s="938">
        <f t="shared" si="99"/>
        <v>0</v>
      </c>
      <c r="R160" s="857">
        <f t="shared" si="100"/>
        <v>0</v>
      </c>
      <c r="S160" s="857">
        <f t="shared" si="101"/>
        <v>0</v>
      </c>
    </row>
    <row r="161" spans="1:19" s="149" customFormat="1" ht="15" thickBot="1">
      <c r="A161" s="154"/>
      <c r="B161" s="407"/>
      <c r="C161" s="406"/>
      <c r="D161" s="418"/>
      <c r="E161" s="405"/>
      <c r="F161" s="405"/>
      <c r="G161" s="656"/>
      <c r="H161" s="656"/>
      <c r="I161" s="656"/>
      <c r="J161" s="656">
        <f t="shared" si="102"/>
        <v>0</v>
      </c>
      <c r="K161" s="656"/>
      <c r="L161" s="656"/>
      <c r="M161" s="656"/>
      <c r="N161" s="656">
        <f t="shared" si="96"/>
        <v>0</v>
      </c>
      <c r="O161" s="687">
        <f t="shared" si="97"/>
        <v>0</v>
      </c>
      <c r="P161" s="688">
        <f t="shared" si="98"/>
        <v>0</v>
      </c>
      <c r="Q161" s="938">
        <f t="shared" si="99"/>
        <v>0</v>
      </c>
      <c r="R161" s="857">
        <f t="shared" si="100"/>
        <v>0</v>
      </c>
      <c r="S161" s="857">
        <f t="shared" si="101"/>
        <v>0</v>
      </c>
    </row>
    <row r="162" spans="1:19" s="149" customFormat="1" ht="16" thickBot="1">
      <c r="A162" s="154"/>
      <c r="B162" s="415" t="s">
        <v>174</v>
      </c>
      <c r="C162" s="416" t="s">
        <v>178</v>
      </c>
      <c r="D162" s="417"/>
      <c r="E162" s="403"/>
      <c r="F162" s="403"/>
      <c r="G162" s="656"/>
      <c r="H162" s="656"/>
      <c r="I162" s="656"/>
      <c r="J162" s="656">
        <f t="shared" si="102"/>
        <v>0</v>
      </c>
      <c r="K162" s="656"/>
      <c r="L162" s="656"/>
      <c r="M162" s="656"/>
      <c r="N162" s="656">
        <f t="shared" si="96"/>
        <v>0</v>
      </c>
      <c r="O162" s="687">
        <f t="shared" si="97"/>
        <v>0</v>
      </c>
      <c r="P162" s="688">
        <f t="shared" si="98"/>
        <v>0</v>
      </c>
      <c r="Q162" s="938">
        <f t="shared" si="99"/>
        <v>0</v>
      </c>
      <c r="R162" s="857">
        <f t="shared" si="100"/>
        <v>0</v>
      </c>
      <c r="S162" s="857">
        <f t="shared" si="101"/>
        <v>0</v>
      </c>
    </row>
    <row r="163" spans="1:19" s="149" customFormat="1" ht="16" thickBot="1">
      <c r="A163" s="154"/>
      <c r="B163" s="407"/>
      <c r="C163" s="406" t="s">
        <v>179</v>
      </c>
      <c r="D163" s="418"/>
      <c r="E163" s="403"/>
      <c r="F163" s="403"/>
      <c r="G163" s="656"/>
      <c r="H163" s="656"/>
      <c r="I163" s="656"/>
      <c r="J163" s="656">
        <f t="shared" si="102"/>
        <v>0</v>
      </c>
      <c r="K163" s="656"/>
      <c r="L163" s="656"/>
      <c r="M163" s="656"/>
      <c r="N163" s="656">
        <f t="shared" si="96"/>
        <v>0</v>
      </c>
      <c r="O163" s="687">
        <f t="shared" si="97"/>
        <v>0</v>
      </c>
      <c r="P163" s="688">
        <f t="shared" si="98"/>
        <v>0</v>
      </c>
      <c r="Q163" s="938">
        <f t="shared" si="99"/>
        <v>0</v>
      </c>
      <c r="R163" s="857">
        <f t="shared" si="100"/>
        <v>0</v>
      </c>
      <c r="S163" s="857">
        <f t="shared" si="101"/>
        <v>0</v>
      </c>
    </row>
    <row r="164" spans="1:19" s="149" customFormat="1" ht="31" thickBot="1">
      <c r="A164" s="154"/>
      <c r="B164" s="415" t="s">
        <v>146</v>
      </c>
      <c r="C164" s="406" t="s">
        <v>180</v>
      </c>
      <c r="D164" s="418"/>
      <c r="E164" s="403">
        <v>387.32</v>
      </c>
      <c r="F164" s="323">
        <f t="shared" ref="F164:F166" si="120">E164*106.9/100</f>
        <v>414.04508000000004</v>
      </c>
      <c r="G164" s="656">
        <f>F164*106.4/100</f>
        <v>440.54396512000005</v>
      </c>
      <c r="H164" s="656">
        <f t="shared" ref="H164:I164" si="121">G164*5.3%+G164</f>
        <v>463.89279527136006</v>
      </c>
      <c r="I164" s="656">
        <f t="shared" si="121"/>
        <v>488.47911342074212</v>
      </c>
      <c r="J164" s="656">
        <f t="shared" si="102"/>
        <v>449.40078434708278</v>
      </c>
      <c r="K164" s="656">
        <f>I164*5.4%+I164</f>
        <v>514.85698554546218</v>
      </c>
      <c r="L164" s="656">
        <f t="shared" ref="L164:L166" si="122">K164*10%+K164</f>
        <v>566.34268410000846</v>
      </c>
      <c r="M164" s="656">
        <f>L164*5%+L164</f>
        <v>594.65981830500891</v>
      </c>
      <c r="N164" s="656">
        <f t="shared" si="96"/>
        <v>626.17678867517441</v>
      </c>
      <c r="O164" s="687">
        <f t="shared" si="97"/>
        <v>656.8594513202579</v>
      </c>
      <c r="P164" s="688">
        <f t="shared" si="98"/>
        <v>685.76126717834927</v>
      </c>
      <c r="Q164" s="938">
        <f t="shared" si="99"/>
        <v>681.16325101910741</v>
      </c>
      <c r="R164" s="857">
        <f t="shared" si="100"/>
        <v>703.64163830273799</v>
      </c>
      <c r="S164" s="857">
        <f t="shared" si="101"/>
        <v>726.1581707284256</v>
      </c>
    </row>
    <row r="165" spans="1:19" s="149" customFormat="1" ht="16" thickBot="1">
      <c r="A165" s="154"/>
      <c r="B165" s="415" t="s">
        <v>148</v>
      </c>
      <c r="C165" s="406" t="s">
        <v>181</v>
      </c>
      <c r="D165" s="418"/>
      <c r="E165" s="403">
        <v>4223.99</v>
      </c>
      <c r="F165" s="323">
        <f t="shared" si="120"/>
        <v>4515.4453100000001</v>
      </c>
      <c r="G165" s="656">
        <f>F165*106.4/100</f>
        <v>4804.4338098400003</v>
      </c>
      <c r="H165" s="656">
        <f t="shared" ref="H165:I165" si="123">G165*5.3%+G165</f>
        <v>5059.0688017615203</v>
      </c>
      <c r="I165" s="656">
        <f t="shared" si="123"/>
        <v>5327.1994482548807</v>
      </c>
      <c r="J165" s="656">
        <f t="shared" si="102"/>
        <v>4901.0234923944899</v>
      </c>
      <c r="K165" s="656">
        <f>I165*5.4%+I165</f>
        <v>5614.8682184606441</v>
      </c>
      <c r="L165" s="656">
        <f t="shared" si="122"/>
        <v>6176.3550403067084</v>
      </c>
      <c r="M165" s="656">
        <f>L165*5%+L165</f>
        <v>6485.1727923220442</v>
      </c>
      <c r="N165" s="656">
        <f t="shared" si="96"/>
        <v>6828.8869503151127</v>
      </c>
      <c r="O165" s="687">
        <f t="shared" si="97"/>
        <v>7163.5024108805528</v>
      </c>
      <c r="P165" s="688">
        <f t="shared" si="98"/>
        <v>7478.6965169592968</v>
      </c>
      <c r="Q165" s="938">
        <f t="shared" si="99"/>
        <v>7428.552000083133</v>
      </c>
      <c r="R165" s="857">
        <f t="shared" si="100"/>
        <v>7673.6942160858762</v>
      </c>
      <c r="S165" s="857">
        <f t="shared" si="101"/>
        <v>7919.2524310006238</v>
      </c>
    </row>
    <row r="166" spans="1:19" s="149" customFormat="1" ht="31" thickBot="1">
      <c r="A166" s="154"/>
      <c r="B166" s="415" t="s">
        <v>156</v>
      </c>
      <c r="C166" s="406" t="s">
        <v>182</v>
      </c>
      <c r="D166" s="418"/>
      <c r="E166" s="403">
        <v>387.32</v>
      </c>
      <c r="F166" s="323">
        <f t="shared" si="120"/>
        <v>414.04508000000004</v>
      </c>
      <c r="G166" s="656">
        <f>F166*106.4/100</f>
        <v>440.54396512000005</v>
      </c>
      <c r="H166" s="656">
        <f t="shared" ref="H166:I166" si="124">G166*5.3%+G166</f>
        <v>463.89279527136006</v>
      </c>
      <c r="I166" s="656">
        <f t="shared" si="124"/>
        <v>488.47911342074212</v>
      </c>
      <c r="J166" s="656">
        <f t="shared" si="102"/>
        <v>449.40078434708278</v>
      </c>
      <c r="K166" s="656">
        <f>I166*5.4%+I166</f>
        <v>514.85698554546218</v>
      </c>
      <c r="L166" s="656">
        <f t="shared" si="122"/>
        <v>566.34268410000846</v>
      </c>
      <c r="M166" s="656">
        <f>L166*5%+L166</f>
        <v>594.65981830500891</v>
      </c>
      <c r="N166" s="656">
        <f t="shared" si="96"/>
        <v>626.17678867517441</v>
      </c>
      <c r="O166" s="687">
        <f t="shared" si="97"/>
        <v>656.8594513202579</v>
      </c>
      <c r="P166" s="688">
        <f t="shared" si="98"/>
        <v>685.76126717834927</v>
      </c>
      <c r="Q166" s="938">
        <f t="shared" si="99"/>
        <v>681.16325101910741</v>
      </c>
      <c r="R166" s="857">
        <f t="shared" si="100"/>
        <v>703.64163830273799</v>
      </c>
      <c r="S166" s="857">
        <f t="shared" si="101"/>
        <v>726.1581707284256</v>
      </c>
    </row>
    <row r="167" spans="1:19" s="149" customFormat="1" ht="15" thickBot="1">
      <c r="A167" s="154"/>
      <c r="B167" s="415"/>
      <c r="C167" s="406"/>
      <c r="D167" s="418"/>
      <c r="E167" s="403"/>
      <c r="F167" s="403"/>
      <c r="G167" s="656"/>
      <c r="H167" s="656"/>
      <c r="I167" s="656"/>
      <c r="J167" s="656">
        <f t="shared" si="102"/>
        <v>0</v>
      </c>
      <c r="K167" s="656"/>
      <c r="L167" s="656"/>
      <c r="M167" s="656"/>
      <c r="N167" s="656">
        <f t="shared" si="96"/>
        <v>0</v>
      </c>
      <c r="O167" s="687">
        <f t="shared" si="97"/>
        <v>0</v>
      </c>
      <c r="P167" s="688">
        <f t="shared" si="98"/>
        <v>0</v>
      </c>
      <c r="Q167" s="938">
        <f t="shared" si="99"/>
        <v>0</v>
      </c>
      <c r="R167" s="857">
        <f t="shared" si="100"/>
        <v>0</v>
      </c>
      <c r="S167" s="857">
        <f t="shared" si="101"/>
        <v>0</v>
      </c>
    </row>
    <row r="168" spans="1:19" s="149" customFormat="1" ht="31" thickBot="1">
      <c r="A168" s="153"/>
      <c r="B168" s="412" t="s">
        <v>183</v>
      </c>
      <c r="C168" s="413" t="s">
        <v>184</v>
      </c>
      <c r="D168" s="404"/>
      <c r="E168" s="403"/>
      <c r="F168" s="403"/>
      <c r="G168" s="656"/>
      <c r="H168" s="656"/>
      <c r="I168" s="656"/>
      <c r="J168" s="656">
        <f t="shared" si="102"/>
        <v>0</v>
      </c>
      <c r="K168" s="656"/>
      <c r="L168" s="656"/>
      <c r="M168" s="656"/>
      <c r="N168" s="656">
        <f t="shared" si="96"/>
        <v>0</v>
      </c>
      <c r="O168" s="687">
        <f t="shared" si="97"/>
        <v>0</v>
      </c>
      <c r="P168" s="688">
        <f t="shared" si="98"/>
        <v>0</v>
      </c>
      <c r="Q168" s="938">
        <f t="shared" si="99"/>
        <v>0</v>
      </c>
      <c r="R168" s="857">
        <f t="shared" si="100"/>
        <v>0</v>
      </c>
      <c r="S168" s="857">
        <f t="shared" si="101"/>
        <v>0</v>
      </c>
    </row>
    <row r="169" spans="1:19" s="149" customFormat="1" ht="16" thickBot="1">
      <c r="A169" s="154"/>
      <c r="B169" s="415" t="s">
        <v>146</v>
      </c>
      <c r="C169" s="419" t="s">
        <v>185</v>
      </c>
      <c r="D169" s="418"/>
      <c r="E169" s="403">
        <v>21.92</v>
      </c>
      <c r="F169" s="323">
        <f t="shared" ref="F169:F173" si="125">E169*106.9/100</f>
        <v>23.432480000000005</v>
      </c>
      <c r="G169" s="656">
        <f>F169*106.4/100</f>
        <v>24.932158720000007</v>
      </c>
      <c r="H169" s="656">
        <f t="shared" ref="H169:I169" si="126">G169*5.3%+G169</f>
        <v>26.253563132160007</v>
      </c>
      <c r="I169" s="656">
        <f t="shared" si="126"/>
        <v>27.645001978164487</v>
      </c>
      <c r="J169" s="656">
        <f t="shared" si="102"/>
        <v>25.433401819911328</v>
      </c>
      <c r="K169" s="656">
        <f>I169*5.4%+I169</f>
        <v>29.137832084985369</v>
      </c>
      <c r="L169" s="656">
        <f t="shared" ref="L169:L173" si="127">K169*10%+K169</f>
        <v>32.051615293483906</v>
      </c>
      <c r="M169" s="656">
        <f>L169*5%+L169</f>
        <v>33.654196058158099</v>
      </c>
      <c r="N169" s="656">
        <f t="shared" si="96"/>
        <v>35.437868449240476</v>
      </c>
      <c r="O169" s="687">
        <f t="shared" si="97"/>
        <v>37.174324003253261</v>
      </c>
      <c r="P169" s="688">
        <f t="shared" si="98"/>
        <v>38.809994259396404</v>
      </c>
      <c r="Q169" s="938">
        <f t="shared" si="99"/>
        <v>38.549773991373634</v>
      </c>
      <c r="R169" s="857">
        <f t="shared" si="100"/>
        <v>39.821916533088967</v>
      </c>
      <c r="S169" s="857">
        <f t="shared" si="101"/>
        <v>41.09621786214781</v>
      </c>
    </row>
    <row r="170" spans="1:19" s="149" customFormat="1" ht="16" thickBot="1">
      <c r="A170" s="154"/>
      <c r="B170" s="415" t="s">
        <v>148</v>
      </c>
      <c r="C170" s="419" t="s">
        <v>186</v>
      </c>
      <c r="D170" s="418"/>
      <c r="E170" s="403">
        <v>46.77</v>
      </c>
      <c r="F170" s="323">
        <f t="shared" si="125"/>
        <v>49.997130000000006</v>
      </c>
      <c r="G170" s="656">
        <f t="shared" ref="G170:G173" si="128">F170*106.4/100</f>
        <v>53.196946320000009</v>
      </c>
      <c r="H170" s="656">
        <f t="shared" ref="H170:I170" si="129">G170*5.3%+G170</f>
        <v>56.016384474960006</v>
      </c>
      <c r="I170" s="656">
        <f t="shared" si="129"/>
        <v>58.985252852132888</v>
      </c>
      <c r="J170" s="656">
        <f t="shared" si="102"/>
        <v>54.26643262396226</v>
      </c>
      <c r="K170" s="656">
        <f>I170*5.4%+I170</f>
        <v>62.170456506148064</v>
      </c>
      <c r="L170" s="656">
        <f t="shared" si="127"/>
        <v>68.387502156762878</v>
      </c>
      <c r="M170" s="656">
        <f>L170*5%+L170</f>
        <v>71.806877264601027</v>
      </c>
      <c r="N170" s="656">
        <f t="shared" si="96"/>
        <v>75.612641759624879</v>
      </c>
      <c r="O170" s="687">
        <f t="shared" si="97"/>
        <v>79.317661205846491</v>
      </c>
      <c r="P170" s="688">
        <f t="shared" si="98"/>
        <v>82.80763829890374</v>
      </c>
      <c r="Q170" s="938">
        <f t="shared" si="99"/>
        <v>82.252414670462812</v>
      </c>
      <c r="R170" s="857">
        <f t="shared" si="100"/>
        <v>84.966744354588087</v>
      </c>
      <c r="S170" s="857">
        <f t="shared" si="101"/>
        <v>87.685680173934912</v>
      </c>
    </row>
    <row r="171" spans="1:19" s="149" customFormat="1" ht="16" thickBot="1">
      <c r="A171" s="154"/>
      <c r="B171" s="415" t="s">
        <v>156</v>
      </c>
      <c r="C171" s="419" t="s">
        <v>44</v>
      </c>
      <c r="D171" s="418"/>
      <c r="E171" s="403">
        <v>46.77</v>
      </c>
      <c r="F171" s="323">
        <f t="shared" si="125"/>
        <v>49.997130000000006</v>
      </c>
      <c r="G171" s="656">
        <f t="shared" si="128"/>
        <v>53.196946320000009</v>
      </c>
      <c r="H171" s="656">
        <f t="shared" ref="H171:I171" si="130">G171*5.3%+G171</f>
        <v>56.016384474960006</v>
      </c>
      <c r="I171" s="656">
        <f t="shared" si="130"/>
        <v>58.985252852132888</v>
      </c>
      <c r="J171" s="656">
        <f t="shared" si="102"/>
        <v>54.26643262396226</v>
      </c>
      <c r="K171" s="656">
        <f>I171*5.4%+I171</f>
        <v>62.170456506148064</v>
      </c>
      <c r="L171" s="656">
        <f t="shared" si="127"/>
        <v>68.387502156762878</v>
      </c>
      <c r="M171" s="656">
        <f>L171*5%+L171</f>
        <v>71.806877264601027</v>
      </c>
      <c r="N171" s="656">
        <f t="shared" si="96"/>
        <v>75.612641759624879</v>
      </c>
      <c r="O171" s="687">
        <f t="shared" si="97"/>
        <v>79.317661205846491</v>
      </c>
      <c r="P171" s="688">
        <f t="shared" si="98"/>
        <v>82.80763829890374</v>
      </c>
      <c r="Q171" s="938">
        <f t="shared" si="99"/>
        <v>82.252414670462812</v>
      </c>
      <c r="R171" s="857">
        <f t="shared" si="100"/>
        <v>84.966744354588087</v>
      </c>
      <c r="S171" s="857">
        <f t="shared" si="101"/>
        <v>87.685680173934912</v>
      </c>
    </row>
    <row r="172" spans="1:19" s="149" customFormat="1" ht="16" thickBot="1">
      <c r="A172" s="154"/>
      <c r="B172" s="415" t="s">
        <v>161</v>
      </c>
      <c r="C172" s="419" t="s">
        <v>187</v>
      </c>
      <c r="D172" s="418"/>
      <c r="E172" s="403">
        <v>46.77</v>
      </c>
      <c r="F172" s="323">
        <f t="shared" si="125"/>
        <v>49.997130000000006</v>
      </c>
      <c r="G172" s="656">
        <f t="shared" si="128"/>
        <v>53.196946320000009</v>
      </c>
      <c r="H172" s="656">
        <f t="shared" ref="H172:I172" si="131">G172*5.3%+G172</f>
        <v>56.016384474960006</v>
      </c>
      <c r="I172" s="656">
        <f t="shared" si="131"/>
        <v>58.985252852132888</v>
      </c>
      <c r="J172" s="656">
        <f t="shared" si="102"/>
        <v>54.26643262396226</v>
      </c>
      <c r="K172" s="656">
        <f>I172*5.4%+I172</f>
        <v>62.170456506148064</v>
      </c>
      <c r="L172" s="656">
        <f t="shared" si="127"/>
        <v>68.387502156762878</v>
      </c>
      <c r="M172" s="656">
        <f>L172*5%+L172</f>
        <v>71.806877264601027</v>
      </c>
      <c r="N172" s="815">
        <f t="shared" si="96"/>
        <v>75.612641759624879</v>
      </c>
      <c r="O172" s="902">
        <f t="shared" si="97"/>
        <v>79.317661205846491</v>
      </c>
      <c r="P172" s="688">
        <f t="shared" si="98"/>
        <v>82.80763829890374</v>
      </c>
      <c r="Q172" s="938">
        <f t="shared" si="99"/>
        <v>82.252414670462812</v>
      </c>
      <c r="R172" s="857">
        <f t="shared" si="100"/>
        <v>84.966744354588087</v>
      </c>
      <c r="S172" s="857">
        <f t="shared" si="101"/>
        <v>87.685680173934912</v>
      </c>
    </row>
    <row r="173" spans="1:19" s="149" customFormat="1" ht="16" thickBot="1">
      <c r="A173" s="154"/>
      <c r="B173" s="415" t="s">
        <v>188</v>
      </c>
      <c r="C173" s="419" t="s">
        <v>18</v>
      </c>
      <c r="D173" s="418"/>
      <c r="E173" s="403">
        <v>21.92</v>
      </c>
      <c r="F173" s="323">
        <f t="shared" si="125"/>
        <v>23.432480000000005</v>
      </c>
      <c r="G173" s="656">
        <f t="shared" si="128"/>
        <v>24.932158720000007</v>
      </c>
      <c r="H173" s="656">
        <f t="shared" ref="H173:I173" si="132">G173*5.3%+G173</f>
        <v>26.253563132160007</v>
      </c>
      <c r="I173" s="656">
        <f t="shared" si="132"/>
        <v>27.645001978164487</v>
      </c>
      <c r="J173" s="656">
        <f t="shared" si="102"/>
        <v>25.433401819911328</v>
      </c>
      <c r="K173" s="656">
        <f>I173*5.4%+I173</f>
        <v>29.137832084985369</v>
      </c>
      <c r="L173" s="656">
        <f t="shared" si="127"/>
        <v>32.051615293483906</v>
      </c>
      <c r="M173" s="657">
        <f>L173*5%+L173</f>
        <v>33.654196058158099</v>
      </c>
      <c r="N173" s="818">
        <f t="shared" si="96"/>
        <v>35.437868449240476</v>
      </c>
      <c r="O173" s="704">
        <f t="shared" si="97"/>
        <v>37.174324003253261</v>
      </c>
      <c r="P173" s="688">
        <f t="shared" si="98"/>
        <v>38.809994259396404</v>
      </c>
      <c r="Q173" s="938">
        <f t="shared" si="99"/>
        <v>38.549773991373634</v>
      </c>
      <c r="R173" s="857">
        <f t="shared" si="100"/>
        <v>39.821916533088967</v>
      </c>
      <c r="S173" s="857">
        <f t="shared" si="101"/>
        <v>41.09621786214781</v>
      </c>
    </row>
    <row r="174" spans="1:19" s="149" customFormat="1">
      <c r="A174" s="153"/>
      <c r="B174" s="61" t="s">
        <v>29</v>
      </c>
      <c r="C174" s="171"/>
      <c r="D174" s="172"/>
      <c r="E174" s="152"/>
      <c r="G174" s="649"/>
      <c r="H174" s="649"/>
      <c r="I174" s="649"/>
      <c r="J174" s="649"/>
      <c r="K174" s="649"/>
      <c r="L174" s="649"/>
      <c r="M174" s="649"/>
      <c r="N174" s="817"/>
      <c r="O174" s="903"/>
      <c r="P174" s="903"/>
      <c r="Q174" s="938"/>
      <c r="R174" s="857"/>
      <c r="S174" s="857"/>
    </row>
    <row r="175" spans="1:19" s="149" customFormat="1">
      <c r="A175" s="153"/>
      <c r="B175" s="61"/>
      <c r="C175" s="171"/>
      <c r="D175" s="172"/>
      <c r="E175" s="152"/>
      <c r="G175" s="649"/>
      <c r="H175" s="649"/>
      <c r="I175" s="649"/>
      <c r="J175" s="649"/>
      <c r="K175" s="649"/>
      <c r="L175" s="649"/>
      <c r="M175" s="649"/>
      <c r="N175" s="817"/>
      <c r="O175" s="903"/>
      <c r="P175" s="903"/>
      <c r="Q175" s="938"/>
      <c r="R175" s="857"/>
      <c r="S175" s="857"/>
    </row>
    <row r="176" spans="1:19" s="149" customFormat="1" ht="15" thickBot="1">
      <c r="A176" s="153"/>
      <c r="B176" s="61"/>
      <c r="C176" s="171"/>
      <c r="D176" s="172"/>
      <c r="E176" s="152"/>
      <c r="G176" s="649"/>
      <c r="H176" s="649"/>
      <c r="I176" s="649"/>
      <c r="J176" s="649"/>
      <c r="K176" s="649"/>
      <c r="L176" s="649"/>
      <c r="M176" s="649"/>
      <c r="N176" s="816"/>
      <c r="O176" s="904"/>
      <c r="P176" s="931"/>
      <c r="Q176" s="938"/>
      <c r="R176" s="857"/>
      <c r="S176" s="857"/>
    </row>
    <row r="177" spans="1:19" ht="31" thickBot="1">
      <c r="A177" s="3"/>
      <c r="B177" s="177" t="s">
        <v>141</v>
      </c>
      <c r="C177" s="10"/>
      <c r="D177" s="11"/>
      <c r="E177" s="12" t="s">
        <v>299</v>
      </c>
      <c r="F177" s="12" t="s">
        <v>300</v>
      </c>
      <c r="G177" s="644" t="s">
        <v>301</v>
      </c>
      <c r="H177" s="644" t="s">
        <v>302</v>
      </c>
      <c r="I177" s="644" t="s">
        <v>303</v>
      </c>
      <c r="J177" s="693" t="s">
        <v>304</v>
      </c>
      <c r="K177" s="644" t="s">
        <v>326</v>
      </c>
      <c r="L177" s="645" t="s">
        <v>305</v>
      </c>
      <c r="M177" s="646" t="s">
        <v>306</v>
      </c>
      <c r="N177" s="702" t="s">
        <v>307</v>
      </c>
      <c r="O177" s="700" t="s">
        <v>308</v>
      </c>
      <c r="P177" s="701" t="s">
        <v>309</v>
      </c>
      <c r="Q177" s="941" t="s">
        <v>310</v>
      </c>
      <c r="R177" s="873" t="s">
        <v>1248</v>
      </c>
      <c r="S177" s="873" t="s">
        <v>1251</v>
      </c>
    </row>
    <row r="178" spans="1:19" ht="15" thickBot="1">
      <c r="B178" s="989" t="s">
        <v>113</v>
      </c>
      <c r="C178" s="990"/>
      <c r="D178" s="991"/>
      <c r="E178" s="1004"/>
      <c r="F178" s="1004"/>
      <c r="G178" s="1005"/>
      <c r="H178" s="1007"/>
      <c r="I178" s="1007"/>
      <c r="J178" s="751"/>
      <c r="K178" s="751"/>
      <c r="L178" s="751"/>
      <c r="M178" s="751"/>
      <c r="N178" s="752"/>
      <c r="O178" s="752"/>
      <c r="P178" s="932"/>
      <c r="Q178" s="898"/>
      <c r="R178" s="668"/>
      <c r="S178" s="668"/>
    </row>
    <row r="179" spans="1:19" s="149" customFormat="1" ht="15" thickBot="1">
      <c r="A179" s="153"/>
      <c r="C179" s="150"/>
      <c r="D179" s="151"/>
      <c r="E179" s="151"/>
      <c r="G179" s="649"/>
      <c r="H179" s="649"/>
      <c r="I179" s="649"/>
      <c r="J179" s="649"/>
      <c r="K179" s="651"/>
      <c r="L179" s="651"/>
      <c r="M179" s="652"/>
      <c r="N179" s="651"/>
      <c r="O179" s="684"/>
      <c r="P179" s="918"/>
      <c r="Q179" s="938"/>
      <c r="R179" s="857"/>
      <c r="S179" s="857"/>
    </row>
    <row r="180" spans="1:19" s="149" customFormat="1" ht="16" thickBot="1">
      <c r="A180" s="154"/>
      <c r="B180" s="182" t="s">
        <v>189</v>
      </c>
      <c r="C180" s="190"/>
      <c r="D180" s="189"/>
      <c r="E180" s="394"/>
      <c r="F180" s="394"/>
      <c r="G180" s="654"/>
      <c r="H180" s="654"/>
      <c r="I180" s="654"/>
      <c r="J180" s="654"/>
      <c r="K180" s="651"/>
      <c r="L180" s="651"/>
      <c r="M180" s="652"/>
      <c r="N180" s="651"/>
      <c r="O180" s="684"/>
      <c r="P180" s="918"/>
      <c r="Q180" s="938"/>
      <c r="R180" s="857"/>
      <c r="S180" s="857"/>
    </row>
    <row r="181" spans="1:19" s="149" customFormat="1" ht="16" thickBot="1">
      <c r="A181" s="154"/>
      <c r="B181" s="182" t="s">
        <v>190</v>
      </c>
      <c r="C181" s="163" t="s">
        <v>167</v>
      </c>
      <c r="D181" s="184"/>
      <c r="E181" s="165"/>
      <c r="F181" s="165"/>
      <c r="G181" s="677"/>
      <c r="H181" s="677"/>
      <c r="I181" s="677"/>
      <c r="J181" s="677"/>
      <c r="K181" s="651"/>
      <c r="L181" s="651"/>
      <c r="M181" s="652"/>
      <c r="N181" s="651"/>
      <c r="O181" s="684"/>
      <c r="P181" s="918"/>
      <c r="Q181" s="938"/>
      <c r="R181" s="857"/>
      <c r="S181" s="857"/>
    </row>
    <row r="182" spans="1:19" s="149" customFormat="1" ht="61" thickBot="1">
      <c r="A182" s="154"/>
      <c r="B182" s="182"/>
      <c r="C182" s="190" t="s">
        <v>191</v>
      </c>
      <c r="D182" s="189"/>
      <c r="E182" s="400">
        <v>11.81</v>
      </c>
      <c r="F182" s="323">
        <f>E182*106.9/100</f>
        <v>12.624890000000001</v>
      </c>
      <c r="G182" s="656">
        <f>F182*106.4/100</f>
        <v>13.432882960000002</v>
      </c>
      <c r="H182" s="656">
        <f>G182*5.3%+G182</f>
        <v>14.144825756880003</v>
      </c>
      <c r="I182" s="656">
        <f t="shared" ref="I182" si="133">H182*5.3%+H182</f>
        <v>14.894501521994643</v>
      </c>
      <c r="J182" s="656">
        <f>I182-I182*0.08</f>
        <v>13.702941400235071</v>
      </c>
      <c r="K182" s="656">
        <f>I182*5.4%+I182</f>
        <v>15.698804604182353</v>
      </c>
      <c r="L182" s="656">
        <f>K182*10%+K182</f>
        <v>17.268685064600589</v>
      </c>
      <c r="M182" s="657">
        <f>L182*5%+L182</f>
        <v>18.132119317830618</v>
      </c>
      <c r="N182" s="656">
        <f t="shared" ref="N182:N213" si="134">M182*5.3%+M182</f>
        <v>19.093121641675641</v>
      </c>
      <c r="O182" s="687">
        <f t="shared" ref="O182:O213" si="135">N182*4.9%+N182</f>
        <v>20.028684602117746</v>
      </c>
      <c r="P182" s="688">
        <f t="shared" ref="P182:P213" si="136">O182*4.4%+O182</f>
        <v>20.909946724610926</v>
      </c>
      <c r="Q182" s="938">
        <f t="shared" ref="Q182:Q213" si="137">O182*3.7%+O182</f>
        <v>20.769745932396102</v>
      </c>
      <c r="R182" s="857">
        <f t="shared" ref="R182:R213" si="138">Q182*3.3%+Q182</f>
        <v>21.455147548165172</v>
      </c>
      <c r="S182" s="857">
        <f t="shared" ref="S182:S213" si="139">R182*3.2%+R182</f>
        <v>22.141712269706456</v>
      </c>
    </row>
    <row r="183" spans="1:19" s="149" customFormat="1" ht="16" thickBot="1">
      <c r="A183" s="154"/>
      <c r="B183" s="182" t="s">
        <v>192</v>
      </c>
      <c r="C183" s="163" t="s">
        <v>171</v>
      </c>
      <c r="D183" s="184"/>
      <c r="E183" s="399"/>
      <c r="F183" s="315"/>
      <c r="G183" s="656"/>
      <c r="H183" s="656"/>
      <c r="I183" s="656"/>
      <c r="J183" s="656">
        <f t="shared" ref="J183:J246" si="140">I183-I183*0.08</f>
        <v>0</v>
      </c>
      <c r="K183" s="656"/>
      <c r="L183" s="656"/>
      <c r="M183" s="657"/>
      <c r="N183" s="656">
        <f t="shared" si="134"/>
        <v>0</v>
      </c>
      <c r="O183" s="687">
        <f t="shared" si="135"/>
        <v>0</v>
      </c>
      <c r="P183" s="688">
        <f t="shared" si="136"/>
        <v>0</v>
      </c>
      <c r="Q183" s="938">
        <f t="shared" si="137"/>
        <v>0</v>
      </c>
      <c r="R183" s="857">
        <f t="shared" si="138"/>
        <v>0</v>
      </c>
      <c r="S183" s="857">
        <f t="shared" si="139"/>
        <v>0</v>
      </c>
    </row>
    <row r="184" spans="1:19" s="149" customFormat="1" ht="31" thickBot="1">
      <c r="A184" s="154"/>
      <c r="B184" s="182" t="s">
        <v>146</v>
      </c>
      <c r="C184" s="190" t="s">
        <v>193</v>
      </c>
      <c r="D184" s="189"/>
      <c r="E184" s="400">
        <v>675.25</v>
      </c>
      <c r="F184" s="323">
        <f t="shared" ref="F184:F185" si="141">E184*106.9/100</f>
        <v>721.84225000000004</v>
      </c>
      <c r="G184" s="656">
        <f>F184*106.4/100</f>
        <v>768.04015400000003</v>
      </c>
      <c r="H184" s="656">
        <f t="shared" ref="H184:I184" si="142">G184*5.3%+G184</f>
        <v>808.74628216200006</v>
      </c>
      <c r="I184" s="656">
        <f t="shared" si="142"/>
        <v>851.60983511658605</v>
      </c>
      <c r="J184" s="656">
        <f t="shared" si="140"/>
        <v>783.48104830725913</v>
      </c>
      <c r="K184" s="656">
        <f>I184*5.4%+I184</f>
        <v>897.59676621288168</v>
      </c>
      <c r="L184" s="656">
        <f>K184*10%+K184</f>
        <v>987.35644283416991</v>
      </c>
      <c r="M184" s="657">
        <f>L184*5%+L184</f>
        <v>1036.7242649758784</v>
      </c>
      <c r="N184" s="656">
        <f t="shared" si="134"/>
        <v>1091.6706510196</v>
      </c>
      <c r="O184" s="687">
        <f t="shared" si="135"/>
        <v>1145.1625129195604</v>
      </c>
      <c r="P184" s="688">
        <f t="shared" si="136"/>
        <v>1195.549663488021</v>
      </c>
      <c r="Q184" s="938">
        <f t="shared" si="137"/>
        <v>1187.5335258975842</v>
      </c>
      <c r="R184" s="857">
        <f t="shared" si="138"/>
        <v>1226.7221322522046</v>
      </c>
      <c r="S184" s="857">
        <f t="shared" si="139"/>
        <v>1265.9772404842752</v>
      </c>
    </row>
    <row r="185" spans="1:19" s="149" customFormat="1" ht="31" thickBot="1">
      <c r="A185" s="154"/>
      <c r="B185" s="182" t="s">
        <v>148</v>
      </c>
      <c r="C185" s="190" t="s">
        <v>194</v>
      </c>
      <c r="D185" s="189"/>
      <c r="E185" s="400">
        <v>1012.88</v>
      </c>
      <c r="F185" s="323">
        <f t="shared" si="141"/>
        <v>1082.76872</v>
      </c>
      <c r="G185" s="656">
        <f>F185*106.4/100</f>
        <v>1152.0659180800001</v>
      </c>
      <c r="H185" s="656">
        <f t="shared" ref="H185:I185" si="143">G185*5.3%+G185</f>
        <v>1213.12541173824</v>
      </c>
      <c r="I185" s="656">
        <f t="shared" si="143"/>
        <v>1277.4210585603666</v>
      </c>
      <c r="J185" s="656">
        <f t="shared" si="140"/>
        <v>1175.2273738755373</v>
      </c>
      <c r="K185" s="656">
        <f>I185*5.4%+I185</f>
        <v>1346.4017957226265</v>
      </c>
      <c r="L185" s="656">
        <f>K185*10%+K185</f>
        <v>1481.0419752948892</v>
      </c>
      <c r="M185" s="657">
        <f>L185*5%+L185</f>
        <v>1555.0940740596336</v>
      </c>
      <c r="N185" s="656">
        <f t="shared" si="134"/>
        <v>1637.5140599847941</v>
      </c>
      <c r="O185" s="687">
        <f t="shared" si="135"/>
        <v>1717.7522489240491</v>
      </c>
      <c r="P185" s="688">
        <f t="shared" si="136"/>
        <v>1793.3333478767072</v>
      </c>
      <c r="Q185" s="938">
        <f t="shared" si="137"/>
        <v>1781.3090821342389</v>
      </c>
      <c r="R185" s="857">
        <f t="shared" si="138"/>
        <v>1840.0922818446688</v>
      </c>
      <c r="S185" s="857">
        <f t="shared" si="139"/>
        <v>1898.9752348636982</v>
      </c>
    </row>
    <row r="186" spans="1:19" s="149" customFormat="1" ht="16" thickBot="1">
      <c r="A186" s="154"/>
      <c r="B186" s="182" t="s">
        <v>195</v>
      </c>
      <c r="C186" s="163" t="s">
        <v>175</v>
      </c>
      <c r="D186" s="184"/>
      <c r="E186" s="399"/>
      <c r="F186" s="315"/>
      <c r="G186" s="656"/>
      <c r="H186" s="656"/>
      <c r="I186" s="656"/>
      <c r="J186" s="656">
        <f t="shared" si="140"/>
        <v>0</v>
      </c>
      <c r="K186" s="656"/>
      <c r="L186" s="656"/>
      <c r="M186" s="657"/>
      <c r="N186" s="656">
        <f t="shared" si="134"/>
        <v>0</v>
      </c>
      <c r="O186" s="687">
        <f t="shared" si="135"/>
        <v>0</v>
      </c>
      <c r="P186" s="688">
        <f t="shared" si="136"/>
        <v>0</v>
      </c>
      <c r="Q186" s="938">
        <f t="shared" si="137"/>
        <v>0</v>
      </c>
      <c r="R186" s="857">
        <f t="shared" si="138"/>
        <v>0</v>
      </c>
      <c r="S186" s="857">
        <f t="shared" si="139"/>
        <v>0</v>
      </c>
    </row>
    <row r="187" spans="1:19" s="149" customFormat="1" ht="31" thickBot="1">
      <c r="A187" s="154"/>
      <c r="B187" s="182"/>
      <c r="C187" s="190" t="s">
        <v>196</v>
      </c>
      <c r="D187" s="189"/>
      <c r="E187" s="400">
        <v>168.81</v>
      </c>
      <c r="F187" s="323">
        <f>E187*106.9/100</f>
        <v>180.45789000000002</v>
      </c>
      <c r="G187" s="656">
        <f>F187*106.4/100</f>
        <v>192.00719496000002</v>
      </c>
      <c r="H187" s="656">
        <f t="shared" ref="H187:I187" si="144">G187*5.3%+G187</f>
        <v>202.18357629288002</v>
      </c>
      <c r="I187" s="656">
        <f t="shared" si="144"/>
        <v>212.89930583640265</v>
      </c>
      <c r="J187" s="656">
        <f t="shared" si="140"/>
        <v>195.86736136949042</v>
      </c>
      <c r="K187" s="656">
        <f>I187*5.4%+I187</f>
        <v>224.3958683515684</v>
      </c>
      <c r="L187" s="656">
        <f>K187*10%+K187</f>
        <v>246.83545518672523</v>
      </c>
      <c r="M187" s="657">
        <f>L187*5%+L187</f>
        <v>259.17722794606146</v>
      </c>
      <c r="N187" s="656">
        <f t="shared" si="134"/>
        <v>272.91362102720274</v>
      </c>
      <c r="O187" s="687">
        <f t="shared" si="135"/>
        <v>286.28638845753568</v>
      </c>
      <c r="P187" s="688">
        <f t="shared" si="136"/>
        <v>298.88298954966723</v>
      </c>
      <c r="Q187" s="938">
        <f t="shared" si="137"/>
        <v>296.8789848304645</v>
      </c>
      <c r="R187" s="857">
        <f t="shared" si="138"/>
        <v>306.67599132986982</v>
      </c>
      <c r="S187" s="857">
        <f t="shared" si="139"/>
        <v>316.48962305242566</v>
      </c>
    </row>
    <row r="188" spans="1:19" s="149" customFormat="1" ht="16" thickBot="1">
      <c r="A188" s="154"/>
      <c r="B188" s="182" t="s">
        <v>197</v>
      </c>
      <c r="C188" s="163" t="s">
        <v>178</v>
      </c>
      <c r="D188" s="184"/>
      <c r="E188" s="399"/>
      <c r="F188" s="399"/>
      <c r="G188" s="656"/>
      <c r="H188" s="656"/>
      <c r="I188" s="656"/>
      <c r="J188" s="656">
        <f t="shared" si="140"/>
        <v>0</v>
      </c>
      <c r="K188" s="656"/>
      <c r="L188" s="656"/>
      <c r="M188" s="657"/>
      <c r="N188" s="656">
        <f t="shared" si="134"/>
        <v>0</v>
      </c>
      <c r="O188" s="687">
        <f t="shared" si="135"/>
        <v>0</v>
      </c>
      <c r="P188" s="688">
        <f t="shared" si="136"/>
        <v>0</v>
      </c>
      <c r="Q188" s="938">
        <f t="shared" si="137"/>
        <v>0</v>
      </c>
      <c r="R188" s="857">
        <f t="shared" si="138"/>
        <v>0</v>
      </c>
      <c r="S188" s="857">
        <f t="shared" si="139"/>
        <v>0</v>
      </c>
    </row>
    <row r="189" spans="1:19" s="149" customFormat="1" ht="16" thickBot="1">
      <c r="A189" s="154"/>
      <c r="B189" s="182"/>
      <c r="C189" s="190" t="s">
        <v>198</v>
      </c>
      <c r="D189" s="189"/>
      <c r="E189" s="399"/>
      <c r="F189" s="399"/>
      <c r="G189" s="656"/>
      <c r="H189" s="656"/>
      <c r="I189" s="656"/>
      <c r="J189" s="656">
        <f t="shared" si="140"/>
        <v>0</v>
      </c>
      <c r="K189" s="656"/>
      <c r="L189" s="656"/>
      <c r="M189" s="657"/>
      <c r="N189" s="656">
        <f t="shared" si="134"/>
        <v>0</v>
      </c>
      <c r="O189" s="687">
        <f t="shared" si="135"/>
        <v>0</v>
      </c>
      <c r="P189" s="688">
        <f t="shared" si="136"/>
        <v>0</v>
      </c>
      <c r="Q189" s="938">
        <f t="shared" si="137"/>
        <v>0</v>
      </c>
      <c r="R189" s="857">
        <f t="shared" si="138"/>
        <v>0</v>
      </c>
      <c r="S189" s="857">
        <f t="shared" si="139"/>
        <v>0</v>
      </c>
    </row>
    <row r="190" spans="1:19" s="149" customFormat="1" ht="31" thickBot="1">
      <c r="A190" s="154"/>
      <c r="B190" s="182" t="s">
        <v>146</v>
      </c>
      <c r="C190" s="190" t="s">
        <v>199</v>
      </c>
      <c r="D190" s="189"/>
      <c r="E190" s="400">
        <v>3641.54</v>
      </c>
      <c r="F190" s="323">
        <f t="shared" ref="F190:F192" si="145">E190*106.9/100</f>
        <v>3892.8062599999998</v>
      </c>
      <c r="G190" s="656">
        <f>F190*106.4/100</f>
        <v>4141.9458606400003</v>
      </c>
      <c r="H190" s="656">
        <f t="shared" ref="H190:I190" si="146">G190*5.3%+G190</f>
        <v>4361.4689912539206</v>
      </c>
      <c r="I190" s="656">
        <f t="shared" si="146"/>
        <v>4592.6268477903786</v>
      </c>
      <c r="J190" s="656">
        <f t="shared" si="140"/>
        <v>4225.2166999671481</v>
      </c>
      <c r="K190" s="656">
        <f>I190*5.4%+I190</f>
        <v>4840.6286975710591</v>
      </c>
      <c r="L190" s="656">
        <f t="shared" ref="L190:L192" si="147">K190*10%+K190</f>
        <v>5324.6915673281646</v>
      </c>
      <c r="M190" s="657">
        <f>L190*5%+L190</f>
        <v>5590.9261456945733</v>
      </c>
      <c r="N190" s="656">
        <f t="shared" si="134"/>
        <v>5887.2452314163856</v>
      </c>
      <c r="O190" s="687">
        <f t="shared" si="135"/>
        <v>6175.7202477557885</v>
      </c>
      <c r="P190" s="688">
        <f t="shared" si="136"/>
        <v>6447.4519386570428</v>
      </c>
      <c r="Q190" s="938">
        <f t="shared" si="137"/>
        <v>6404.2218969227524</v>
      </c>
      <c r="R190" s="857">
        <f t="shared" si="138"/>
        <v>6615.5612195212034</v>
      </c>
      <c r="S190" s="857">
        <f t="shared" si="139"/>
        <v>6827.2591785458817</v>
      </c>
    </row>
    <row r="191" spans="1:19" s="149" customFormat="1" ht="16" thickBot="1">
      <c r="A191" s="154"/>
      <c r="B191" s="182" t="s">
        <v>148</v>
      </c>
      <c r="C191" s="190" t="s">
        <v>200</v>
      </c>
      <c r="D191" s="189"/>
      <c r="E191" s="400">
        <v>4646.28</v>
      </c>
      <c r="F191" s="323">
        <f t="shared" si="145"/>
        <v>4966.8733199999997</v>
      </c>
      <c r="G191" s="656">
        <f>F191*106.4/100</f>
        <v>5284.75321248</v>
      </c>
      <c r="H191" s="656">
        <f t="shared" ref="H191:I191" si="148">G191*5.3%+G191</f>
        <v>5564.8451327414405</v>
      </c>
      <c r="I191" s="656">
        <f t="shared" si="148"/>
        <v>5859.7819247767366</v>
      </c>
      <c r="J191" s="656">
        <f t="shared" si="140"/>
        <v>5390.9993707945978</v>
      </c>
      <c r="K191" s="656">
        <f>I191*5.4%+I191</f>
        <v>6176.2101487146801</v>
      </c>
      <c r="L191" s="656">
        <f t="shared" si="147"/>
        <v>6793.8311635861483</v>
      </c>
      <c r="M191" s="657">
        <f>L191*5%+L191</f>
        <v>7133.5227217654556</v>
      </c>
      <c r="N191" s="656">
        <f t="shared" si="134"/>
        <v>7511.5994260190246</v>
      </c>
      <c r="O191" s="687">
        <f t="shared" si="135"/>
        <v>7879.667797893957</v>
      </c>
      <c r="P191" s="688">
        <f t="shared" si="136"/>
        <v>8226.3731810012905</v>
      </c>
      <c r="Q191" s="938">
        <f t="shared" si="137"/>
        <v>8171.2155064160333</v>
      </c>
      <c r="R191" s="857">
        <f t="shared" si="138"/>
        <v>8440.865618127762</v>
      </c>
      <c r="S191" s="857">
        <f t="shared" si="139"/>
        <v>8710.9733179078503</v>
      </c>
    </row>
    <row r="192" spans="1:19" s="149" customFormat="1" ht="16" thickBot="1">
      <c r="A192" s="154"/>
      <c r="B192" s="182" t="s">
        <v>156</v>
      </c>
      <c r="C192" s="190" t="s">
        <v>201</v>
      </c>
      <c r="D192" s="189"/>
      <c r="E192" s="400">
        <v>42.19</v>
      </c>
      <c r="F192" s="323">
        <f t="shared" si="145"/>
        <v>45.101109999999998</v>
      </c>
      <c r="G192" s="656">
        <f>F192*106.4/100</f>
        <v>47.987581040000002</v>
      </c>
      <c r="H192" s="656">
        <f t="shared" ref="H192:I192" si="149">G192*5.3%+G192</f>
        <v>50.530922835120002</v>
      </c>
      <c r="I192" s="656">
        <f t="shared" si="149"/>
        <v>53.209061745381362</v>
      </c>
      <c r="J192" s="656">
        <f t="shared" si="140"/>
        <v>48.952336805750853</v>
      </c>
      <c r="K192" s="656">
        <f>I192*5.4%+I192</f>
        <v>56.082351079631955</v>
      </c>
      <c r="L192" s="656">
        <f t="shared" si="147"/>
        <v>61.690586187595152</v>
      </c>
      <c r="M192" s="657">
        <f>L192*5%+L192</f>
        <v>64.775115496974905</v>
      </c>
      <c r="N192" s="656">
        <f t="shared" si="134"/>
        <v>68.208196618314574</v>
      </c>
      <c r="O192" s="687">
        <f t="shared" si="135"/>
        <v>71.550398252611984</v>
      </c>
      <c r="P192" s="688">
        <f t="shared" si="136"/>
        <v>74.698615775726907</v>
      </c>
      <c r="Q192" s="938">
        <f t="shared" si="137"/>
        <v>74.197762987958626</v>
      </c>
      <c r="R192" s="857">
        <f t="shared" si="138"/>
        <v>76.64628916656126</v>
      </c>
      <c r="S192" s="857">
        <f t="shared" si="139"/>
        <v>79.098970419891216</v>
      </c>
    </row>
    <row r="193" spans="1:19" ht="12" customHeight="1" thickBot="1">
      <c r="A193" s="62"/>
      <c r="B193" s="61" t="s">
        <v>29</v>
      </c>
      <c r="E193" s="13"/>
      <c r="H193" s="656"/>
      <c r="I193" s="656"/>
      <c r="J193" s="656">
        <f t="shared" si="140"/>
        <v>0</v>
      </c>
      <c r="K193" s="656"/>
      <c r="L193" s="656"/>
      <c r="M193" s="657"/>
      <c r="N193" s="656">
        <f t="shared" si="134"/>
        <v>0</v>
      </c>
      <c r="O193" s="687">
        <f t="shared" si="135"/>
        <v>0</v>
      </c>
      <c r="P193" s="688">
        <f t="shared" si="136"/>
        <v>0</v>
      </c>
      <c r="Q193" s="898">
        <f t="shared" si="137"/>
        <v>0</v>
      </c>
      <c r="R193" s="668">
        <f t="shared" si="138"/>
        <v>0</v>
      </c>
      <c r="S193" s="668">
        <f t="shared" si="139"/>
        <v>0</v>
      </c>
    </row>
    <row r="194" spans="1:19" s="149" customFormat="1" ht="16" thickBot="1">
      <c r="A194" s="154"/>
      <c r="B194" s="618" t="s">
        <v>328</v>
      </c>
      <c r="C194" s="182" t="s">
        <v>329</v>
      </c>
      <c r="D194" s="190"/>
      <c r="E194" s="189"/>
      <c r="F194" s="400"/>
      <c r="G194" s="656"/>
      <c r="H194" s="656"/>
      <c r="I194" s="656"/>
      <c r="J194" s="656">
        <f t="shared" si="140"/>
        <v>0</v>
      </c>
      <c r="K194" s="656"/>
      <c r="L194" s="656"/>
      <c r="M194" s="657"/>
      <c r="N194" s="656">
        <f t="shared" si="134"/>
        <v>0</v>
      </c>
      <c r="O194" s="687">
        <f t="shared" si="135"/>
        <v>0</v>
      </c>
      <c r="P194" s="688">
        <f t="shared" si="136"/>
        <v>0</v>
      </c>
      <c r="Q194" s="938">
        <f t="shared" si="137"/>
        <v>0</v>
      </c>
      <c r="R194" s="857">
        <f t="shared" si="138"/>
        <v>0</v>
      </c>
      <c r="S194" s="857">
        <f t="shared" si="139"/>
        <v>0</v>
      </c>
    </row>
    <row r="195" spans="1:19" s="149" customFormat="1" ht="15" thickBot="1">
      <c r="A195" s="154"/>
      <c r="B195" s="619"/>
      <c r="C195" s="182"/>
      <c r="D195" s="190"/>
      <c r="E195" s="189"/>
      <c r="F195" s="400"/>
      <c r="G195" s="656"/>
      <c r="H195" s="656"/>
      <c r="I195" s="656"/>
      <c r="J195" s="656">
        <f t="shared" si="140"/>
        <v>0</v>
      </c>
      <c r="K195" s="656"/>
      <c r="L195" s="656"/>
      <c r="M195" s="657"/>
      <c r="N195" s="656">
        <f t="shared" si="134"/>
        <v>0</v>
      </c>
      <c r="O195" s="687">
        <f t="shared" si="135"/>
        <v>0</v>
      </c>
      <c r="P195" s="688">
        <f t="shared" si="136"/>
        <v>0</v>
      </c>
      <c r="Q195" s="938">
        <f t="shared" si="137"/>
        <v>0</v>
      </c>
      <c r="R195" s="857">
        <f t="shared" si="138"/>
        <v>0</v>
      </c>
      <c r="S195" s="857">
        <f t="shared" si="139"/>
        <v>0</v>
      </c>
    </row>
    <row r="196" spans="1:19" s="149" customFormat="1" ht="16" thickBot="1">
      <c r="A196" s="154"/>
      <c r="B196" s="620" t="s">
        <v>330</v>
      </c>
      <c r="C196" s="182"/>
      <c r="D196" s="190"/>
      <c r="E196" s="189"/>
      <c r="F196" s="400"/>
      <c r="G196" s="656"/>
      <c r="H196" s="656"/>
      <c r="I196" s="656"/>
      <c r="J196" s="656">
        <f t="shared" si="140"/>
        <v>0</v>
      </c>
      <c r="K196" s="656"/>
      <c r="L196" s="656"/>
      <c r="M196" s="657"/>
      <c r="N196" s="656">
        <f t="shared" si="134"/>
        <v>0</v>
      </c>
      <c r="O196" s="687">
        <f t="shared" si="135"/>
        <v>0</v>
      </c>
      <c r="P196" s="688">
        <f t="shared" si="136"/>
        <v>0</v>
      </c>
      <c r="Q196" s="938">
        <f t="shared" si="137"/>
        <v>0</v>
      </c>
      <c r="R196" s="857">
        <f t="shared" si="138"/>
        <v>0</v>
      </c>
      <c r="S196" s="857">
        <f t="shared" si="139"/>
        <v>0</v>
      </c>
    </row>
    <row r="197" spans="1:19" s="149" customFormat="1" ht="15" thickBot="1">
      <c r="A197" s="154"/>
      <c r="B197" s="618"/>
      <c r="C197" s="182"/>
      <c r="D197" s="190"/>
      <c r="E197" s="189"/>
      <c r="F197" s="400"/>
      <c r="G197" s="656"/>
      <c r="H197" s="656"/>
      <c r="I197" s="656"/>
      <c r="J197" s="656">
        <f t="shared" si="140"/>
        <v>0</v>
      </c>
      <c r="K197" s="656"/>
      <c r="L197" s="656"/>
      <c r="M197" s="657"/>
      <c r="N197" s="656">
        <f t="shared" si="134"/>
        <v>0</v>
      </c>
      <c r="O197" s="687">
        <f t="shared" si="135"/>
        <v>0</v>
      </c>
      <c r="P197" s="688">
        <f t="shared" si="136"/>
        <v>0</v>
      </c>
      <c r="Q197" s="938">
        <f t="shared" si="137"/>
        <v>0</v>
      </c>
      <c r="R197" s="857">
        <f t="shared" si="138"/>
        <v>0</v>
      </c>
      <c r="S197" s="857">
        <f t="shared" si="139"/>
        <v>0</v>
      </c>
    </row>
    <row r="198" spans="1:19" s="149" customFormat="1" ht="16" thickBot="1">
      <c r="A198" s="154"/>
      <c r="B198" s="618" t="s">
        <v>331</v>
      </c>
      <c r="C198" s="155">
        <v>102000</v>
      </c>
      <c r="D198" s="190"/>
      <c r="E198" s="189"/>
      <c r="F198" s="400">
        <f>3815.8</f>
        <v>3815.8</v>
      </c>
      <c r="G198" s="654">
        <f>3815.8</f>
        <v>3815.8</v>
      </c>
      <c r="H198" s="656">
        <f t="shared" ref="H198:I198" si="150">G198*5.3%+G198</f>
        <v>4018.0374000000002</v>
      </c>
      <c r="I198" s="656">
        <f t="shared" si="150"/>
        <v>4230.9933822000003</v>
      </c>
      <c r="J198" s="656">
        <f t="shared" si="140"/>
        <v>3892.5139116240002</v>
      </c>
      <c r="K198" s="656">
        <f>I198*5.4%+I198</f>
        <v>4459.4670248388002</v>
      </c>
      <c r="L198" s="656">
        <f t="shared" ref="L198:L202" si="151">K198*10%+K198</f>
        <v>4905.4137273226806</v>
      </c>
      <c r="M198" s="657">
        <f>L198*5%+L198</f>
        <v>5150.6844136888149</v>
      </c>
      <c r="N198" s="656">
        <f t="shared" si="134"/>
        <v>5423.6706876143217</v>
      </c>
      <c r="O198" s="687">
        <f t="shared" si="135"/>
        <v>5689.4305513074232</v>
      </c>
      <c r="P198" s="688">
        <f t="shared" si="136"/>
        <v>5939.7654955649496</v>
      </c>
      <c r="Q198" s="938">
        <f t="shared" si="137"/>
        <v>5899.9394817057982</v>
      </c>
      <c r="R198" s="857">
        <f t="shared" si="138"/>
        <v>6094.6374846020899</v>
      </c>
      <c r="S198" s="857">
        <f t="shared" si="139"/>
        <v>6289.6658841093567</v>
      </c>
    </row>
    <row r="199" spans="1:19" s="149" customFormat="1" ht="15" thickBot="1">
      <c r="A199" s="154"/>
      <c r="B199" s="618"/>
      <c r="C199" s="155">
        <v>104000</v>
      </c>
      <c r="D199" s="190"/>
      <c r="E199" s="189"/>
      <c r="F199" s="400">
        <v>3433.43</v>
      </c>
      <c r="G199" s="654">
        <v>3433.43</v>
      </c>
      <c r="H199" s="656">
        <f t="shared" ref="H199:I199" si="152">G199*5.3%+G199</f>
        <v>3615.4017899999999</v>
      </c>
      <c r="I199" s="656">
        <f t="shared" si="152"/>
        <v>3807.0180848699997</v>
      </c>
      <c r="J199" s="656">
        <f t="shared" si="140"/>
        <v>3502.4566380803999</v>
      </c>
      <c r="K199" s="656">
        <f>I199*5.4%+I199</f>
        <v>4012.5970614529797</v>
      </c>
      <c r="L199" s="656">
        <f t="shared" si="151"/>
        <v>4413.8567675982777</v>
      </c>
      <c r="M199" s="657">
        <f>L199*5%+L199</f>
        <v>4634.5496059781917</v>
      </c>
      <c r="N199" s="656">
        <f t="shared" si="134"/>
        <v>4880.1807350950357</v>
      </c>
      <c r="O199" s="687">
        <f t="shared" si="135"/>
        <v>5119.3095911146929</v>
      </c>
      <c r="P199" s="688">
        <f t="shared" si="136"/>
        <v>5344.559213123739</v>
      </c>
      <c r="Q199" s="938">
        <f t="shared" si="137"/>
        <v>5308.7240459859368</v>
      </c>
      <c r="R199" s="857">
        <f t="shared" si="138"/>
        <v>5483.9119395034722</v>
      </c>
      <c r="S199" s="857">
        <f t="shared" si="139"/>
        <v>5659.3971215675838</v>
      </c>
    </row>
    <row r="200" spans="1:19" s="149" customFormat="1" ht="15" thickBot="1">
      <c r="A200" s="154"/>
      <c r="B200" s="618"/>
      <c r="C200" s="155">
        <v>106000</v>
      </c>
      <c r="D200" s="190"/>
      <c r="E200" s="189"/>
      <c r="F200" s="400">
        <v>3558.01</v>
      </c>
      <c r="G200" s="654">
        <v>3558.01</v>
      </c>
      <c r="H200" s="656">
        <f t="shared" ref="H200:I200" si="153">G200*5.3%+G200</f>
        <v>3746.5845300000001</v>
      </c>
      <c r="I200" s="656">
        <f t="shared" si="153"/>
        <v>3945.1535100900001</v>
      </c>
      <c r="J200" s="656">
        <f t="shared" si="140"/>
        <v>3629.5412292828</v>
      </c>
      <c r="K200" s="656">
        <f>I200*5.4%+I200</f>
        <v>4158.1917996348602</v>
      </c>
      <c r="L200" s="656">
        <f t="shared" si="151"/>
        <v>4574.0109795983462</v>
      </c>
      <c r="M200" s="657">
        <f>L200*5%+L200</f>
        <v>4802.7115285782638</v>
      </c>
      <c r="N200" s="656">
        <f t="shared" si="134"/>
        <v>5057.2552395929115</v>
      </c>
      <c r="O200" s="687">
        <f t="shared" si="135"/>
        <v>5305.0607463329643</v>
      </c>
      <c r="P200" s="688">
        <f t="shared" si="136"/>
        <v>5538.4834191716145</v>
      </c>
      <c r="Q200" s="938">
        <f t="shared" si="137"/>
        <v>5501.3479939472836</v>
      </c>
      <c r="R200" s="857">
        <f t="shared" si="138"/>
        <v>5682.892477747544</v>
      </c>
      <c r="S200" s="857">
        <f t="shared" si="139"/>
        <v>5864.7450370354654</v>
      </c>
    </row>
    <row r="201" spans="1:19" s="149" customFormat="1" ht="15" thickBot="1">
      <c r="A201" s="154"/>
      <c r="B201" s="618"/>
      <c r="C201" s="155">
        <v>108000</v>
      </c>
      <c r="D201" s="190"/>
      <c r="E201" s="189"/>
      <c r="F201" s="400">
        <v>4029.14</v>
      </c>
      <c r="G201" s="654">
        <v>4029.14</v>
      </c>
      <c r="H201" s="656">
        <f t="shared" ref="H201:I201" si="154">G201*5.3%+G201</f>
        <v>4242.6844199999996</v>
      </c>
      <c r="I201" s="656">
        <f t="shared" si="154"/>
        <v>4467.5466942599996</v>
      </c>
      <c r="J201" s="656">
        <f t="shared" si="140"/>
        <v>4110.1429587191997</v>
      </c>
      <c r="K201" s="656">
        <f>I201*5.4%+I201</f>
        <v>4708.7942157500393</v>
      </c>
      <c r="L201" s="656">
        <f t="shared" si="151"/>
        <v>5179.6736373250433</v>
      </c>
      <c r="M201" s="657">
        <f>L201*5%+L201</f>
        <v>5438.6573191912958</v>
      </c>
      <c r="N201" s="656">
        <f t="shared" si="134"/>
        <v>5726.9061571084349</v>
      </c>
      <c r="O201" s="687">
        <f t="shared" si="135"/>
        <v>6007.5245588067482</v>
      </c>
      <c r="P201" s="688">
        <f t="shared" si="136"/>
        <v>6271.8556393942454</v>
      </c>
      <c r="Q201" s="938">
        <f t="shared" si="137"/>
        <v>6229.8029674825975</v>
      </c>
      <c r="R201" s="857">
        <f t="shared" si="138"/>
        <v>6435.3864654095232</v>
      </c>
      <c r="S201" s="857">
        <f t="shared" si="139"/>
        <v>6641.3188323026279</v>
      </c>
    </row>
    <row r="202" spans="1:19" s="149" customFormat="1" ht="15" thickBot="1">
      <c r="A202" s="154"/>
      <c r="B202" s="618"/>
      <c r="C202" s="155">
        <v>110000</v>
      </c>
      <c r="D202" s="190"/>
      <c r="E202" s="189"/>
      <c r="F202" s="400">
        <v>3621.92</v>
      </c>
      <c r="G202" s="654">
        <v>3621.92</v>
      </c>
      <c r="H202" s="656">
        <f t="shared" ref="H202:I202" si="155">G202*5.3%+G202</f>
        <v>3813.8817600000002</v>
      </c>
      <c r="I202" s="656">
        <f t="shared" si="155"/>
        <v>4016.0174932800001</v>
      </c>
      <c r="J202" s="656">
        <f t="shared" si="140"/>
        <v>3694.7360938175998</v>
      </c>
      <c r="K202" s="656">
        <f>I202*5.4%+I202</f>
        <v>4232.8824379171201</v>
      </c>
      <c r="L202" s="656">
        <f t="shared" si="151"/>
        <v>4656.1706817088325</v>
      </c>
      <c r="M202" s="657">
        <f>L202*5%+L202</f>
        <v>4888.9792157942738</v>
      </c>
      <c r="N202" s="656">
        <f t="shared" si="134"/>
        <v>5148.0951142313706</v>
      </c>
      <c r="O202" s="687">
        <f t="shared" si="135"/>
        <v>5400.3517748287077</v>
      </c>
      <c r="P202" s="688">
        <f t="shared" si="136"/>
        <v>5637.9672529211712</v>
      </c>
      <c r="Q202" s="938">
        <f t="shared" si="137"/>
        <v>5600.1647904973697</v>
      </c>
      <c r="R202" s="857">
        <f t="shared" si="138"/>
        <v>5784.970228583783</v>
      </c>
      <c r="S202" s="857">
        <f t="shared" si="139"/>
        <v>5970.0892758984637</v>
      </c>
    </row>
    <row r="203" spans="1:19" s="149" customFormat="1" ht="15" thickBot="1">
      <c r="A203" s="154"/>
      <c r="B203" s="618"/>
      <c r="C203" s="182"/>
      <c r="D203" s="190"/>
      <c r="E203" s="189"/>
      <c r="F203" s="400"/>
      <c r="G203" s="654"/>
      <c r="H203" s="656"/>
      <c r="I203" s="656"/>
      <c r="J203" s="656">
        <f t="shared" si="140"/>
        <v>0</v>
      </c>
      <c r="K203" s="656"/>
      <c r="L203" s="656"/>
      <c r="M203" s="657"/>
      <c r="N203" s="656">
        <f t="shared" si="134"/>
        <v>0</v>
      </c>
      <c r="O203" s="687">
        <f t="shared" si="135"/>
        <v>0</v>
      </c>
      <c r="P203" s="688">
        <f t="shared" si="136"/>
        <v>0</v>
      </c>
      <c r="Q203" s="938">
        <f t="shared" si="137"/>
        <v>0</v>
      </c>
      <c r="R203" s="857">
        <f t="shared" si="138"/>
        <v>0</v>
      </c>
      <c r="S203" s="857">
        <f t="shared" si="139"/>
        <v>0</v>
      </c>
    </row>
    <row r="204" spans="1:19" s="149" customFormat="1" ht="16" thickBot="1">
      <c r="A204" s="154"/>
      <c r="B204" s="618" t="s">
        <v>332</v>
      </c>
      <c r="C204" s="182">
        <v>112000</v>
      </c>
      <c r="D204" s="190"/>
      <c r="E204" s="189"/>
      <c r="F204" s="400">
        <v>4171.3999999999996</v>
      </c>
      <c r="G204" s="654">
        <v>4171.3999999999996</v>
      </c>
      <c r="H204" s="656">
        <f t="shared" ref="H204:I204" si="156">G204*5.3%+G204</f>
        <v>4392.4841999999999</v>
      </c>
      <c r="I204" s="656">
        <f t="shared" si="156"/>
        <v>4625.2858625999997</v>
      </c>
      <c r="J204" s="656">
        <f t="shared" si="140"/>
        <v>4255.2629935919995</v>
      </c>
      <c r="K204" s="656">
        <f>I204*5.4%+I204</f>
        <v>4875.0512991803998</v>
      </c>
      <c r="L204" s="656">
        <f t="shared" ref="L204:L208" si="157">K204*10%+K204</f>
        <v>5362.5564290984403</v>
      </c>
      <c r="M204" s="657">
        <f>L204*5%+L204</f>
        <v>5630.6842505533623</v>
      </c>
      <c r="N204" s="656">
        <f t="shared" si="134"/>
        <v>5929.1105158326909</v>
      </c>
      <c r="O204" s="687">
        <f t="shared" si="135"/>
        <v>6219.6369311084927</v>
      </c>
      <c r="P204" s="688">
        <f t="shared" si="136"/>
        <v>6493.3009560772662</v>
      </c>
      <c r="Q204" s="938">
        <f t="shared" si="137"/>
        <v>6449.7634975595074</v>
      </c>
      <c r="R204" s="857">
        <f t="shared" si="138"/>
        <v>6662.6056929789711</v>
      </c>
      <c r="S204" s="857">
        <f t="shared" si="139"/>
        <v>6875.8090751542986</v>
      </c>
    </row>
    <row r="205" spans="1:19" s="149" customFormat="1" ht="15" thickBot="1">
      <c r="A205" s="154"/>
      <c r="B205" s="618"/>
      <c r="C205" s="182">
        <v>114000</v>
      </c>
      <c r="D205" s="190"/>
      <c r="E205" s="189"/>
      <c r="F205" s="400">
        <v>4242.53</v>
      </c>
      <c r="G205" s="654">
        <v>4242.53</v>
      </c>
      <c r="H205" s="656">
        <f t="shared" ref="H205:I205" si="158">G205*5.3%+G205</f>
        <v>4467.3840899999996</v>
      </c>
      <c r="I205" s="656">
        <f t="shared" si="158"/>
        <v>4704.1554467699998</v>
      </c>
      <c r="J205" s="656">
        <f t="shared" si="140"/>
        <v>4327.8230110284003</v>
      </c>
      <c r="K205" s="656">
        <f>I205*5.4%+I205</f>
        <v>4958.1798408955801</v>
      </c>
      <c r="L205" s="656">
        <f t="shared" si="157"/>
        <v>5453.9978249851383</v>
      </c>
      <c r="M205" s="657">
        <f>L205*5%+L205</f>
        <v>5726.6977162343956</v>
      </c>
      <c r="N205" s="656">
        <f t="shared" si="134"/>
        <v>6030.2126951948185</v>
      </c>
      <c r="O205" s="687">
        <f t="shared" si="135"/>
        <v>6325.693117259365</v>
      </c>
      <c r="P205" s="688">
        <f t="shared" si="136"/>
        <v>6604.0236144187766</v>
      </c>
      <c r="Q205" s="938">
        <f t="shared" si="137"/>
        <v>6559.7437625979619</v>
      </c>
      <c r="R205" s="857">
        <f t="shared" si="138"/>
        <v>6776.2153067636946</v>
      </c>
      <c r="S205" s="857">
        <f t="shared" si="139"/>
        <v>6993.0541965801331</v>
      </c>
    </row>
    <row r="206" spans="1:19" s="149" customFormat="1" ht="15" thickBot="1">
      <c r="A206" s="154"/>
      <c r="B206" s="618"/>
      <c r="C206" s="182">
        <v>116000</v>
      </c>
      <c r="D206" s="190"/>
      <c r="E206" s="189"/>
      <c r="F206" s="400">
        <v>4313.6499999999996</v>
      </c>
      <c r="G206" s="654">
        <v>4313.6499999999996</v>
      </c>
      <c r="H206" s="656">
        <f t="shared" ref="H206:I206" si="159">G206*5.3%+G206</f>
        <v>4542.2734499999997</v>
      </c>
      <c r="I206" s="656">
        <f t="shared" si="159"/>
        <v>4783.0139428499997</v>
      </c>
      <c r="J206" s="656">
        <f t="shared" si="140"/>
        <v>4400.3728274219993</v>
      </c>
      <c r="K206" s="656">
        <f>I206*5.4%+I206</f>
        <v>5041.2966957639001</v>
      </c>
      <c r="L206" s="656">
        <f t="shared" si="157"/>
        <v>5545.4263653402904</v>
      </c>
      <c r="M206" s="657">
        <f>L206*5%+L206</f>
        <v>5822.6976836073045</v>
      </c>
      <c r="N206" s="656">
        <f t="shared" si="134"/>
        <v>6131.3006608384912</v>
      </c>
      <c r="O206" s="687">
        <f t="shared" si="135"/>
        <v>6431.7343932195772</v>
      </c>
      <c r="P206" s="688">
        <f t="shared" si="136"/>
        <v>6714.730706521239</v>
      </c>
      <c r="Q206" s="938">
        <f t="shared" si="137"/>
        <v>6669.7085657687012</v>
      </c>
      <c r="R206" s="857">
        <f t="shared" si="138"/>
        <v>6889.8089484390684</v>
      </c>
      <c r="S206" s="857">
        <f t="shared" si="139"/>
        <v>7110.2828347891191</v>
      </c>
    </row>
    <row r="207" spans="1:19" s="149" customFormat="1" ht="15" thickBot="1">
      <c r="A207" s="154"/>
      <c r="B207" s="618"/>
      <c r="C207" s="182">
        <v>118000</v>
      </c>
      <c r="D207" s="190"/>
      <c r="E207" s="189"/>
      <c r="F207" s="400">
        <v>4384.78</v>
      </c>
      <c r="G207" s="654">
        <v>4384.78</v>
      </c>
      <c r="H207" s="656">
        <f t="shared" ref="H207:I207" si="160">G207*5.3%+G207</f>
        <v>4617.1733399999994</v>
      </c>
      <c r="I207" s="656">
        <f t="shared" si="160"/>
        <v>4861.8835270199997</v>
      </c>
      <c r="J207" s="656">
        <f t="shared" si="140"/>
        <v>4472.9328448584001</v>
      </c>
      <c r="K207" s="656">
        <f>I207*5.4%+I207</f>
        <v>5124.4252374790794</v>
      </c>
      <c r="L207" s="656">
        <f t="shared" si="157"/>
        <v>5636.8677612269876</v>
      </c>
      <c r="M207" s="657">
        <f>L207*5%+L207</f>
        <v>5918.7111492883369</v>
      </c>
      <c r="N207" s="656">
        <f t="shared" si="134"/>
        <v>6232.4028402006188</v>
      </c>
      <c r="O207" s="687">
        <f t="shared" si="135"/>
        <v>6537.7905793704494</v>
      </c>
      <c r="P207" s="688">
        <f t="shared" si="136"/>
        <v>6825.4533648627494</v>
      </c>
      <c r="Q207" s="938">
        <f t="shared" si="137"/>
        <v>6779.6888308071557</v>
      </c>
      <c r="R207" s="857">
        <f t="shared" si="138"/>
        <v>7003.4185622237919</v>
      </c>
      <c r="S207" s="857">
        <f t="shared" si="139"/>
        <v>7227.5279562149535</v>
      </c>
    </row>
    <row r="208" spans="1:19" s="149" customFormat="1" ht="15" thickBot="1">
      <c r="A208" s="154"/>
      <c r="B208" s="618"/>
      <c r="C208" s="182">
        <v>120000</v>
      </c>
      <c r="D208" s="190"/>
      <c r="E208" s="189"/>
      <c r="F208" s="400">
        <v>4455.91</v>
      </c>
      <c r="G208" s="654">
        <v>4455.91</v>
      </c>
      <c r="H208" s="656">
        <f t="shared" ref="H208:I208" si="161">G208*5.3%+G208</f>
        <v>4692.07323</v>
      </c>
      <c r="I208" s="656">
        <f t="shared" si="161"/>
        <v>4940.7531111899998</v>
      </c>
      <c r="J208" s="656">
        <f t="shared" si="140"/>
        <v>4545.4928622948</v>
      </c>
      <c r="K208" s="656">
        <f>I208*5.4%+I208</f>
        <v>5207.5537791942597</v>
      </c>
      <c r="L208" s="656">
        <f t="shared" si="157"/>
        <v>5728.3091571136856</v>
      </c>
      <c r="M208" s="657">
        <f>L208*5%+L208</f>
        <v>6014.7246149693701</v>
      </c>
      <c r="N208" s="656">
        <f t="shared" si="134"/>
        <v>6333.5050195627464</v>
      </c>
      <c r="O208" s="687">
        <f t="shared" si="135"/>
        <v>6643.8467655213208</v>
      </c>
      <c r="P208" s="688">
        <f t="shared" si="136"/>
        <v>6936.1760232042589</v>
      </c>
      <c r="Q208" s="938">
        <f t="shared" si="137"/>
        <v>6889.6690958456093</v>
      </c>
      <c r="R208" s="857">
        <f t="shared" si="138"/>
        <v>7117.0281760085145</v>
      </c>
      <c r="S208" s="857">
        <f t="shared" si="139"/>
        <v>7344.7730776407871</v>
      </c>
    </row>
    <row r="209" spans="1:19" s="149" customFormat="1" ht="15" thickBot="1">
      <c r="A209" s="154"/>
      <c r="B209" s="618"/>
      <c r="C209" s="182"/>
      <c r="D209" s="190"/>
      <c r="E209" s="189"/>
      <c r="F209" s="400"/>
      <c r="G209" s="654"/>
      <c r="H209" s="656"/>
      <c r="I209" s="656"/>
      <c r="J209" s="656">
        <f t="shared" si="140"/>
        <v>0</v>
      </c>
      <c r="K209" s="656"/>
      <c r="L209" s="656"/>
      <c r="M209" s="657"/>
      <c r="N209" s="656">
        <f t="shared" si="134"/>
        <v>0</v>
      </c>
      <c r="O209" s="687">
        <f t="shared" si="135"/>
        <v>0</v>
      </c>
      <c r="P209" s="688">
        <f t="shared" si="136"/>
        <v>0</v>
      </c>
      <c r="Q209" s="938">
        <f t="shared" si="137"/>
        <v>0</v>
      </c>
      <c r="R209" s="857">
        <f t="shared" si="138"/>
        <v>0</v>
      </c>
      <c r="S209" s="857">
        <f t="shared" si="139"/>
        <v>0</v>
      </c>
    </row>
    <row r="210" spans="1:19" s="149" customFormat="1" ht="16" thickBot="1">
      <c r="A210" s="154"/>
      <c r="B210" s="618" t="s">
        <v>333</v>
      </c>
      <c r="C210" s="182">
        <v>122000</v>
      </c>
      <c r="D210" s="190"/>
      <c r="E210" s="189"/>
      <c r="F210" s="400">
        <v>5526.62</v>
      </c>
      <c r="G210" s="654">
        <v>5526.62</v>
      </c>
      <c r="H210" s="656">
        <f t="shared" ref="H210:I210" si="162">G210*5.3%+G210</f>
        <v>5819.5308599999998</v>
      </c>
      <c r="I210" s="656">
        <f t="shared" si="162"/>
        <v>6127.9659955799998</v>
      </c>
      <c r="J210" s="656">
        <f t="shared" si="140"/>
        <v>5637.7287159336001</v>
      </c>
      <c r="K210" s="656">
        <f>I210*5.4%+I210</f>
        <v>6458.8761593413201</v>
      </c>
      <c r="L210" s="656">
        <f t="shared" ref="L210:L214" si="163">K210*10%+K210</f>
        <v>7104.7637752754526</v>
      </c>
      <c r="M210" s="657">
        <f>L210*5%+L210</f>
        <v>7460.0019640392256</v>
      </c>
      <c r="N210" s="656">
        <f t="shared" si="134"/>
        <v>7855.3820681333045</v>
      </c>
      <c r="O210" s="687">
        <f t="shared" si="135"/>
        <v>8240.2957894718365</v>
      </c>
      <c r="P210" s="688">
        <f t="shared" si="136"/>
        <v>8602.8688042085978</v>
      </c>
      <c r="Q210" s="938">
        <f t="shared" si="137"/>
        <v>8545.1867336822943</v>
      </c>
      <c r="R210" s="857">
        <f t="shared" si="138"/>
        <v>8827.1778958938103</v>
      </c>
      <c r="S210" s="857">
        <f t="shared" si="139"/>
        <v>9109.6475885624113</v>
      </c>
    </row>
    <row r="211" spans="1:19" s="149" customFormat="1" ht="15" thickBot="1">
      <c r="A211" s="154"/>
      <c r="B211" s="618"/>
      <c r="C211" s="182">
        <v>124000</v>
      </c>
      <c r="D211" s="190"/>
      <c r="E211" s="189"/>
      <c r="F211" s="400">
        <v>4598.17</v>
      </c>
      <c r="G211" s="654">
        <v>4598.17</v>
      </c>
      <c r="H211" s="656">
        <f t="shared" ref="H211:I211" si="164">G211*5.3%+G211</f>
        <v>4841.8730100000002</v>
      </c>
      <c r="I211" s="656">
        <f t="shared" si="164"/>
        <v>5098.4922795299999</v>
      </c>
      <c r="J211" s="656">
        <f t="shared" si="140"/>
        <v>4690.6128971675998</v>
      </c>
      <c r="K211" s="656">
        <f>I211*5.4%+I211</f>
        <v>5373.8108626246203</v>
      </c>
      <c r="L211" s="656">
        <f t="shared" si="163"/>
        <v>5911.1919488870826</v>
      </c>
      <c r="M211" s="657">
        <f>L211*5%+L211</f>
        <v>6206.7515463314367</v>
      </c>
      <c r="N211" s="656">
        <f t="shared" si="134"/>
        <v>6535.7093782870024</v>
      </c>
      <c r="O211" s="687">
        <f t="shared" si="135"/>
        <v>6855.9591378230652</v>
      </c>
      <c r="P211" s="688">
        <f t="shared" si="136"/>
        <v>7157.6213398872806</v>
      </c>
      <c r="Q211" s="938">
        <f t="shared" si="137"/>
        <v>7109.6296259225182</v>
      </c>
      <c r="R211" s="857">
        <f t="shared" si="138"/>
        <v>7344.2474035779614</v>
      </c>
      <c r="S211" s="857">
        <f t="shared" si="139"/>
        <v>7579.2633204924559</v>
      </c>
    </row>
    <row r="212" spans="1:19" s="149" customFormat="1" ht="15" thickBot="1">
      <c r="A212" s="154"/>
      <c r="B212" s="618"/>
      <c r="C212" s="182">
        <v>126000</v>
      </c>
      <c r="D212" s="190"/>
      <c r="E212" s="189"/>
      <c r="F212" s="400">
        <v>4669.29</v>
      </c>
      <c r="G212" s="654">
        <v>4669.29</v>
      </c>
      <c r="H212" s="656">
        <f t="shared" ref="H212:I212" si="165">G212*5.3%+G212</f>
        <v>4916.7623700000004</v>
      </c>
      <c r="I212" s="656">
        <f t="shared" si="165"/>
        <v>5177.3507756100007</v>
      </c>
      <c r="J212" s="656">
        <f t="shared" si="140"/>
        <v>4763.1627135612007</v>
      </c>
      <c r="K212" s="656">
        <f>I212*5.4%+I212</f>
        <v>5456.9277174929412</v>
      </c>
      <c r="L212" s="656">
        <f t="shared" si="163"/>
        <v>6002.6204892422356</v>
      </c>
      <c r="M212" s="657">
        <f>L212*5%+L212</f>
        <v>6302.7515137043474</v>
      </c>
      <c r="N212" s="656">
        <f t="shared" si="134"/>
        <v>6636.7973439306779</v>
      </c>
      <c r="O212" s="687">
        <f t="shared" si="135"/>
        <v>6962.0004137832811</v>
      </c>
      <c r="P212" s="688">
        <f t="shared" si="136"/>
        <v>7268.3284319897457</v>
      </c>
      <c r="Q212" s="938">
        <f t="shared" si="137"/>
        <v>7219.594429093263</v>
      </c>
      <c r="R212" s="857">
        <f t="shared" si="138"/>
        <v>7457.8410452533408</v>
      </c>
      <c r="S212" s="857">
        <f t="shared" si="139"/>
        <v>7696.4919587014474</v>
      </c>
    </row>
    <row r="213" spans="1:19" s="149" customFormat="1" ht="15" thickBot="1">
      <c r="A213" s="154"/>
      <c r="B213" s="618"/>
      <c r="C213" s="182">
        <v>128000</v>
      </c>
      <c r="D213" s="190"/>
      <c r="E213" s="189"/>
      <c r="F213" s="400">
        <v>4740.42</v>
      </c>
      <c r="G213" s="654">
        <v>4740.42</v>
      </c>
      <c r="H213" s="656">
        <f t="shared" ref="H213:I213" si="166">G213*5.3%+G213</f>
        <v>4991.6622600000001</v>
      </c>
      <c r="I213" s="656">
        <f t="shared" si="166"/>
        <v>5256.2203597799999</v>
      </c>
      <c r="J213" s="656">
        <f t="shared" si="140"/>
        <v>4835.7227309975997</v>
      </c>
      <c r="K213" s="656">
        <f>I213*5.4%+I213</f>
        <v>5540.0562592081196</v>
      </c>
      <c r="L213" s="656">
        <f t="shared" si="163"/>
        <v>6094.0618851289319</v>
      </c>
      <c r="M213" s="657">
        <f>L213*5%+L213</f>
        <v>6398.7649793853789</v>
      </c>
      <c r="N213" s="656">
        <f t="shared" si="134"/>
        <v>6737.8995232928037</v>
      </c>
      <c r="O213" s="687">
        <f t="shared" si="135"/>
        <v>7068.0565999341507</v>
      </c>
      <c r="P213" s="688">
        <f t="shared" si="136"/>
        <v>7379.0510903312534</v>
      </c>
      <c r="Q213" s="938">
        <f t="shared" si="137"/>
        <v>7329.5746941317138</v>
      </c>
      <c r="R213" s="857">
        <f t="shared" si="138"/>
        <v>7571.4506590380606</v>
      </c>
      <c r="S213" s="857">
        <f t="shared" si="139"/>
        <v>7813.7370801272782</v>
      </c>
    </row>
    <row r="214" spans="1:19" s="149" customFormat="1" ht="15" thickBot="1">
      <c r="A214" s="154"/>
      <c r="B214" s="618"/>
      <c r="C214" s="182">
        <v>130000</v>
      </c>
      <c r="D214" s="190"/>
      <c r="E214" s="189"/>
      <c r="F214" s="400">
        <v>4811.55</v>
      </c>
      <c r="G214" s="654">
        <v>4811.55</v>
      </c>
      <c r="H214" s="656">
        <f t="shared" ref="H214:I214" si="167">G214*5.3%+G214</f>
        <v>5066.5621499999997</v>
      </c>
      <c r="I214" s="656">
        <f t="shared" si="167"/>
        <v>5335.0899439499999</v>
      </c>
      <c r="J214" s="656">
        <f t="shared" si="140"/>
        <v>4908.2827484339996</v>
      </c>
      <c r="K214" s="656">
        <f>I214*5.4%+I214</f>
        <v>5623.1848009232999</v>
      </c>
      <c r="L214" s="656">
        <f t="shared" si="163"/>
        <v>6185.5032810156299</v>
      </c>
      <c r="M214" s="657">
        <f>L214*5%+L214</f>
        <v>6494.7784450664112</v>
      </c>
      <c r="N214" s="656">
        <f t="shared" ref="N214:N245" si="168">M214*5.3%+M214</f>
        <v>6839.0017026549313</v>
      </c>
      <c r="O214" s="687">
        <f t="shared" ref="O214:O245" si="169">N214*4.9%+N214</f>
        <v>7174.1127860850229</v>
      </c>
      <c r="P214" s="688">
        <f t="shared" ref="P214:P245" si="170">O214*4.4%+O214</f>
        <v>7489.7737486727638</v>
      </c>
      <c r="Q214" s="938">
        <f t="shared" ref="Q214:Q245" si="171">O214*3.7%+O214</f>
        <v>7439.5549591701692</v>
      </c>
      <c r="R214" s="857">
        <f t="shared" ref="R214:R245" si="172">Q214*3.3%+Q214</f>
        <v>7685.060272822785</v>
      </c>
      <c r="S214" s="857">
        <f t="shared" ref="S214:S245" si="173">R214*3.2%+R214</f>
        <v>7930.9822015531145</v>
      </c>
    </row>
    <row r="215" spans="1:19" s="149" customFormat="1" ht="15" thickBot="1">
      <c r="A215" s="154"/>
      <c r="B215" s="618"/>
      <c r="C215" s="182"/>
      <c r="D215" s="190"/>
      <c r="E215" s="189"/>
      <c r="F215" s="400"/>
      <c r="G215" s="654"/>
      <c r="H215" s="656"/>
      <c r="I215" s="656"/>
      <c r="J215" s="656">
        <f t="shared" si="140"/>
        <v>0</v>
      </c>
      <c r="K215" s="656"/>
      <c r="L215" s="656"/>
      <c r="M215" s="657"/>
      <c r="N215" s="656">
        <f t="shared" si="168"/>
        <v>0</v>
      </c>
      <c r="O215" s="687">
        <f t="shared" si="169"/>
        <v>0</v>
      </c>
      <c r="P215" s="688">
        <f t="shared" si="170"/>
        <v>0</v>
      </c>
      <c r="Q215" s="938">
        <f t="shared" si="171"/>
        <v>0</v>
      </c>
      <c r="R215" s="857">
        <f t="shared" si="172"/>
        <v>0</v>
      </c>
      <c r="S215" s="857">
        <f t="shared" si="173"/>
        <v>0</v>
      </c>
    </row>
    <row r="216" spans="1:19" s="149" customFormat="1" ht="16" thickBot="1">
      <c r="A216" s="154"/>
      <c r="B216" s="618" t="s">
        <v>334</v>
      </c>
      <c r="C216" s="182">
        <v>132000</v>
      </c>
      <c r="D216" s="190"/>
      <c r="E216" s="189"/>
      <c r="F216" s="400">
        <v>4882.68</v>
      </c>
      <c r="G216" s="654">
        <v>4882.68</v>
      </c>
      <c r="H216" s="656">
        <f t="shared" ref="H216:I216" si="174">G216*5.3%+G216</f>
        <v>5141.4620400000003</v>
      </c>
      <c r="I216" s="656">
        <f t="shared" si="174"/>
        <v>5413.95952812</v>
      </c>
      <c r="J216" s="656">
        <f t="shared" si="140"/>
        <v>4980.8427658704004</v>
      </c>
      <c r="K216" s="656">
        <f>I216*5.4%+I216</f>
        <v>5706.3133426384802</v>
      </c>
      <c r="L216" s="656">
        <f t="shared" ref="L216:L220" si="175">K216*10%+K216</f>
        <v>6276.944676902328</v>
      </c>
      <c r="M216" s="657">
        <f>L216*5%+L216</f>
        <v>6590.7919107474445</v>
      </c>
      <c r="N216" s="656">
        <f t="shared" si="168"/>
        <v>6940.1038820170588</v>
      </c>
      <c r="O216" s="687">
        <f t="shared" si="169"/>
        <v>7280.1689722358951</v>
      </c>
      <c r="P216" s="688">
        <f t="shared" si="170"/>
        <v>7600.4964070142742</v>
      </c>
      <c r="Q216" s="938">
        <f t="shared" si="171"/>
        <v>7549.5352242086228</v>
      </c>
      <c r="R216" s="857">
        <f t="shared" si="172"/>
        <v>7798.6698866075076</v>
      </c>
      <c r="S216" s="857">
        <f t="shared" si="173"/>
        <v>8048.227322978948</v>
      </c>
    </row>
    <row r="217" spans="1:19" s="149" customFormat="1" ht="15" thickBot="1">
      <c r="A217" s="154"/>
      <c r="B217" s="618"/>
      <c r="C217" s="182">
        <v>134000</v>
      </c>
      <c r="D217" s="190"/>
      <c r="E217" s="189"/>
      <c r="F217" s="400">
        <v>4953.8100000000004</v>
      </c>
      <c r="G217" s="654">
        <v>4953.8100000000004</v>
      </c>
      <c r="H217" s="656">
        <f t="shared" ref="H217:I217" si="176">G217*5.3%+G217</f>
        <v>5216.36193</v>
      </c>
      <c r="I217" s="656">
        <f t="shared" si="176"/>
        <v>5492.82911229</v>
      </c>
      <c r="J217" s="656">
        <f t="shared" si="140"/>
        <v>5053.4027833068003</v>
      </c>
      <c r="K217" s="656">
        <f>I217*5.4%+I217</f>
        <v>5789.4418843536605</v>
      </c>
      <c r="L217" s="656">
        <f t="shared" si="175"/>
        <v>6368.3860727890269</v>
      </c>
      <c r="M217" s="657">
        <f>L217*5%+L217</f>
        <v>6686.8053764284787</v>
      </c>
      <c r="N217" s="656">
        <f t="shared" si="168"/>
        <v>7041.2060613791882</v>
      </c>
      <c r="O217" s="687">
        <f t="shared" si="169"/>
        <v>7386.2251583867683</v>
      </c>
      <c r="P217" s="688">
        <f t="shared" si="170"/>
        <v>7711.2190653557864</v>
      </c>
      <c r="Q217" s="938">
        <f t="shared" si="171"/>
        <v>7659.5154892470791</v>
      </c>
      <c r="R217" s="857">
        <f t="shared" si="172"/>
        <v>7912.2795003922329</v>
      </c>
      <c r="S217" s="857">
        <f t="shared" si="173"/>
        <v>8165.4724444047843</v>
      </c>
    </row>
    <row r="218" spans="1:19" s="149" customFormat="1" ht="15" thickBot="1">
      <c r="A218" s="154"/>
      <c r="B218" s="618"/>
      <c r="C218" s="182">
        <v>136000</v>
      </c>
      <c r="D218" s="190"/>
      <c r="E218" s="189"/>
      <c r="F218" s="400">
        <v>5024.93</v>
      </c>
      <c r="G218" s="654">
        <v>5024.93</v>
      </c>
      <c r="H218" s="656">
        <f t="shared" ref="H218:I218" si="177">G218*5.3%+G218</f>
        <v>5291.2512900000002</v>
      </c>
      <c r="I218" s="656">
        <f t="shared" si="177"/>
        <v>5571.6876083699999</v>
      </c>
      <c r="J218" s="656">
        <f t="shared" si="140"/>
        <v>5125.9525997004002</v>
      </c>
      <c r="K218" s="656">
        <f>I218*5.4%+I218</f>
        <v>5872.5587392219795</v>
      </c>
      <c r="L218" s="656">
        <f t="shared" si="175"/>
        <v>6459.8146131441772</v>
      </c>
      <c r="M218" s="657">
        <f>L218*5%+L218</f>
        <v>6782.8053438013858</v>
      </c>
      <c r="N218" s="656">
        <f t="shared" si="168"/>
        <v>7142.2940270228592</v>
      </c>
      <c r="O218" s="687">
        <f t="shared" si="169"/>
        <v>7492.2664343469796</v>
      </c>
      <c r="P218" s="688">
        <f t="shared" si="170"/>
        <v>7821.926157458247</v>
      </c>
      <c r="Q218" s="938">
        <f t="shared" si="171"/>
        <v>7769.4802924178175</v>
      </c>
      <c r="R218" s="857">
        <f t="shared" si="172"/>
        <v>8025.8731420676058</v>
      </c>
      <c r="S218" s="857">
        <f t="shared" si="173"/>
        <v>8282.7010826137684</v>
      </c>
    </row>
    <row r="219" spans="1:19" s="149" customFormat="1" ht="15" thickBot="1">
      <c r="A219" s="154"/>
      <c r="B219" s="618"/>
      <c r="C219" s="182">
        <v>138000</v>
      </c>
      <c r="D219" s="190"/>
      <c r="E219" s="189"/>
      <c r="F219" s="400">
        <v>5096.0600000000004</v>
      </c>
      <c r="G219" s="654">
        <v>5096.0600000000004</v>
      </c>
      <c r="H219" s="656">
        <f t="shared" ref="H219:I219" si="178">G219*5.3%+G219</f>
        <v>5366.1511800000007</v>
      </c>
      <c r="I219" s="656">
        <f t="shared" si="178"/>
        <v>5650.5571925400009</v>
      </c>
      <c r="J219" s="656">
        <f t="shared" si="140"/>
        <v>5198.5126171368011</v>
      </c>
      <c r="K219" s="656">
        <f>I219*5.4%+I219</f>
        <v>5955.6872809371607</v>
      </c>
      <c r="L219" s="656">
        <f t="shared" si="175"/>
        <v>6551.2560090308771</v>
      </c>
      <c r="M219" s="657">
        <f>L219*5%+L219</f>
        <v>6878.8188094824209</v>
      </c>
      <c r="N219" s="656">
        <f t="shared" si="168"/>
        <v>7243.3962063849895</v>
      </c>
      <c r="O219" s="687">
        <f t="shared" si="169"/>
        <v>7598.3226204978537</v>
      </c>
      <c r="P219" s="688">
        <f t="shared" si="170"/>
        <v>7932.6488157997592</v>
      </c>
      <c r="Q219" s="938">
        <f t="shared" si="171"/>
        <v>7879.4605574562747</v>
      </c>
      <c r="R219" s="857">
        <f t="shared" si="172"/>
        <v>8139.482755852332</v>
      </c>
      <c r="S219" s="857">
        <f t="shared" si="173"/>
        <v>8399.9462040396065</v>
      </c>
    </row>
    <row r="220" spans="1:19" s="149" customFormat="1" ht="15" thickBot="1">
      <c r="A220" s="154"/>
      <c r="B220" s="618"/>
      <c r="C220" s="182">
        <v>140000</v>
      </c>
      <c r="D220" s="190"/>
      <c r="E220" s="189"/>
      <c r="F220" s="400">
        <v>5167.1899999999996</v>
      </c>
      <c r="G220" s="654">
        <v>5167.1899999999996</v>
      </c>
      <c r="H220" s="656">
        <f t="shared" ref="H220:I220" si="179">G220*5.3%+G220</f>
        <v>5441.0510699999995</v>
      </c>
      <c r="I220" s="656">
        <f t="shared" si="179"/>
        <v>5729.4267767099991</v>
      </c>
      <c r="J220" s="656">
        <f t="shared" si="140"/>
        <v>5271.0726345731991</v>
      </c>
      <c r="K220" s="656">
        <f>I220*5.4%+I220</f>
        <v>6038.8158226523392</v>
      </c>
      <c r="L220" s="656">
        <f t="shared" si="175"/>
        <v>6642.6974049175733</v>
      </c>
      <c r="M220" s="657">
        <f>L220*5%+L220</f>
        <v>6974.8322751634523</v>
      </c>
      <c r="N220" s="656">
        <f t="shared" si="168"/>
        <v>7344.4983857471152</v>
      </c>
      <c r="O220" s="687">
        <f t="shared" si="169"/>
        <v>7704.3788066487241</v>
      </c>
      <c r="P220" s="688">
        <f t="shared" si="170"/>
        <v>8043.3714741412678</v>
      </c>
      <c r="Q220" s="938">
        <f t="shared" si="171"/>
        <v>7989.4408224947274</v>
      </c>
      <c r="R220" s="857">
        <f t="shared" si="172"/>
        <v>8253.0923696370537</v>
      </c>
      <c r="S220" s="857">
        <f t="shared" si="173"/>
        <v>8517.1913254654391</v>
      </c>
    </row>
    <row r="221" spans="1:19" s="149" customFormat="1" ht="15" thickBot="1">
      <c r="A221" s="154"/>
      <c r="B221" s="618"/>
      <c r="C221" s="182"/>
      <c r="D221" s="190"/>
      <c r="E221" s="189"/>
      <c r="F221" s="400"/>
      <c r="G221" s="654"/>
      <c r="H221" s="656"/>
      <c r="I221" s="656"/>
      <c r="J221" s="656">
        <f t="shared" si="140"/>
        <v>0</v>
      </c>
      <c r="K221" s="656"/>
      <c r="L221" s="656"/>
      <c r="M221" s="657"/>
      <c r="N221" s="656">
        <f t="shared" si="168"/>
        <v>0</v>
      </c>
      <c r="O221" s="687">
        <f t="shared" si="169"/>
        <v>0</v>
      </c>
      <c r="P221" s="688">
        <f t="shared" si="170"/>
        <v>0</v>
      </c>
      <c r="Q221" s="938">
        <f t="shared" si="171"/>
        <v>0</v>
      </c>
      <c r="R221" s="857">
        <f t="shared" si="172"/>
        <v>0</v>
      </c>
      <c r="S221" s="857">
        <f t="shared" si="173"/>
        <v>0</v>
      </c>
    </row>
    <row r="222" spans="1:19" s="149" customFormat="1" ht="16" thickBot="1">
      <c r="A222" s="154"/>
      <c r="B222" s="618" t="s">
        <v>335</v>
      </c>
      <c r="C222" s="182">
        <v>2000</v>
      </c>
      <c r="D222" s="190"/>
      <c r="E222" s="189"/>
      <c r="F222" s="400">
        <v>220.97</v>
      </c>
      <c r="G222" s="654">
        <v>220.97</v>
      </c>
      <c r="H222" s="656">
        <f t="shared" ref="H222:I222" si="180">G222*5.3%+G222</f>
        <v>232.68141</v>
      </c>
      <c r="I222" s="656">
        <f t="shared" si="180"/>
        <v>245.01352473</v>
      </c>
      <c r="J222" s="656">
        <f t="shared" si="140"/>
        <v>225.4124427516</v>
      </c>
      <c r="K222" s="656">
        <f>I222*5.4%+I222</f>
        <v>258.24425506542002</v>
      </c>
      <c r="L222" s="656">
        <f t="shared" ref="L222:L226" si="181">K222*10%+K222</f>
        <v>284.06868057196203</v>
      </c>
      <c r="M222" s="657">
        <f>L222*5%+L222</f>
        <v>298.27211460056014</v>
      </c>
      <c r="N222" s="656">
        <f t="shared" si="168"/>
        <v>314.0805366743898</v>
      </c>
      <c r="O222" s="687">
        <f t="shared" si="169"/>
        <v>329.47048297143493</v>
      </c>
      <c r="P222" s="688">
        <f t="shared" si="170"/>
        <v>343.96718422217805</v>
      </c>
      <c r="Q222" s="938">
        <f t="shared" si="171"/>
        <v>341.66089084137803</v>
      </c>
      <c r="R222" s="857">
        <f t="shared" si="172"/>
        <v>352.9357002391435</v>
      </c>
      <c r="S222" s="857">
        <f t="shared" si="173"/>
        <v>364.22964264679609</v>
      </c>
    </row>
    <row r="223" spans="1:19" s="149" customFormat="1" ht="15" thickBot="1">
      <c r="A223" s="154"/>
      <c r="B223" s="618"/>
      <c r="C223" s="182">
        <v>4000</v>
      </c>
      <c r="D223" s="190"/>
      <c r="E223" s="189"/>
      <c r="F223" s="400">
        <v>328.6</v>
      </c>
      <c r="G223" s="654">
        <v>328.6</v>
      </c>
      <c r="H223" s="656">
        <f t="shared" ref="H223:I223" si="182">G223*5.3%+G223</f>
        <v>346.01580000000001</v>
      </c>
      <c r="I223" s="656">
        <f t="shared" si="182"/>
        <v>364.3546374</v>
      </c>
      <c r="J223" s="656">
        <f t="shared" si="140"/>
        <v>335.20626640799998</v>
      </c>
      <c r="K223" s="656">
        <f>I223*5.4%+I223</f>
        <v>384.02978781960002</v>
      </c>
      <c r="L223" s="656">
        <f t="shared" si="181"/>
        <v>422.43276660156005</v>
      </c>
      <c r="M223" s="657">
        <f>L223*5%+L223</f>
        <v>443.55440493163803</v>
      </c>
      <c r="N223" s="656">
        <f t="shared" si="168"/>
        <v>467.06278839301484</v>
      </c>
      <c r="O223" s="687">
        <f t="shared" si="169"/>
        <v>489.94886502427255</v>
      </c>
      <c r="P223" s="688">
        <f t="shared" si="170"/>
        <v>511.50661508534057</v>
      </c>
      <c r="Q223" s="938">
        <f t="shared" si="171"/>
        <v>508.07697303017062</v>
      </c>
      <c r="R223" s="857">
        <f t="shared" si="172"/>
        <v>524.84351314016624</v>
      </c>
      <c r="S223" s="857">
        <f t="shared" si="173"/>
        <v>541.63850556065154</v>
      </c>
    </row>
    <row r="224" spans="1:19" s="149" customFormat="1" ht="15" thickBot="1">
      <c r="A224" s="154"/>
      <c r="B224" s="618"/>
      <c r="C224" s="182">
        <v>6000</v>
      </c>
      <c r="D224" s="190"/>
      <c r="E224" s="189"/>
      <c r="F224" s="400">
        <v>399.32</v>
      </c>
      <c r="G224" s="654">
        <v>399.32</v>
      </c>
      <c r="H224" s="656">
        <f t="shared" ref="H224:I224" si="183">G224*5.3%+G224</f>
        <v>420.48395999999997</v>
      </c>
      <c r="I224" s="656">
        <f t="shared" si="183"/>
        <v>442.76960987999996</v>
      </c>
      <c r="J224" s="656">
        <f t="shared" si="140"/>
        <v>407.34804108959997</v>
      </c>
      <c r="K224" s="656">
        <f>I224*5.4%+I224</f>
        <v>466.67916881351994</v>
      </c>
      <c r="L224" s="656">
        <f t="shared" si="181"/>
        <v>513.34708569487191</v>
      </c>
      <c r="M224" s="657">
        <f>L224*5%+L224</f>
        <v>539.01443997961553</v>
      </c>
      <c r="N224" s="656">
        <f t="shared" si="168"/>
        <v>567.5822052985352</v>
      </c>
      <c r="O224" s="687">
        <f t="shared" si="169"/>
        <v>595.39373335816344</v>
      </c>
      <c r="P224" s="688">
        <f t="shared" si="170"/>
        <v>621.59105762592264</v>
      </c>
      <c r="Q224" s="938">
        <f t="shared" si="171"/>
        <v>617.42330149241548</v>
      </c>
      <c r="R224" s="857">
        <f t="shared" si="172"/>
        <v>637.79827044166518</v>
      </c>
      <c r="S224" s="857">
        <f t="shared" si="173"/>
        <v>658.20781509579842</v>
      </c>
    </row>
    <row r="225" spans="1:19" s="149" customFormat="1" ht="15" thickBot="1">
      <c r="A225" s="154"/>
      <c r="B225" s="618"/>
      <c r="C225" s="182">
        <v>8000</v>
      </c>
      <c r="D225" s="190"/>
      <c r="E225" s="189"/>
      <c r="F225" s="400">
        <v>470.05</v>
      </c>
      <c r="G225" s="654">
        <v>470.05</v>
      </c>
      <c r="H225" s="656">
        <f t="shared" ref="H225:I225" si="184">G225*5.3%+G225</f>
        <v>494.96265</v>
      </c>
      <c r="I225" s="656">
        <f t="shared" si="184"/>
        <v>521.19567044999997</v>
      </c>
      <c r="J225" s="656">
        <f t="shared" si="140"/>
        <v>479.50001681399999</v>
      </c>
      <c r="K225" s="656">
        <f>I225*5.4%+I225</f>
        <v>549.34023665429993</v>
      </c>
      <c r="L225" s="656">
        <f t="shared" si="181"/>
        <v>604.27426031972993</v>
      </c>
      <c r="M225" s="657">
        <f>L225*5%+L225</f>
        <v>634.48797333571645</v>
      </c>
      <c r="N225" s="656">
        <f t="shared" si="168"/>
        <v>668.1158359225094</v>
      </c>
      <c r="O225" s="687">
        <f t="shared" si="169"/>
        <v>700.85351188271238</v>
      </c>
      <c r="P225" s="688">
        <f t="shared" si="170"/>
        <v>731.69106640555174</v>
      </c>
      <c r="Q225" s="938">
        <f t="shared" si="171"/>
        <v>726.78509182237269</v>
      </c>
      <c r="R225" s="857">
        <f t="shared" si="172"/>
        <v>750.768999852511</v>
      </c>
      <c r="S225" s="857">
        <f t="shared" si="173"/>
        <v>774.79360784779135</v>
      </c>
    </row>
    <row r="226" spans="1:19" s="149" customFormat="1" ht="15" thickBot="1">
      <c r="A226" s="154"/>
      <c r="B226" s="618"/>
      <c r="C226" s="182">
        <v>10000</v>
      </c>
      <c r="D226" s="190"/>
      <c r="E226" s="189"/>
      <c r="F226" s="400">
        <v>540.78</v>
      </c>
      <c r="G226" s="654">
        <v>540.78</v>
      </c>
      <c r="H226" s="656">
        <f t="shared" ref="H226:I226" si="185">G226*5.3%+G226</f>
        <v>569.44133999999997</v>
      </c>
      <c r="I226" s="656">
        <f t="shared" si="185"/>
        <v>599.62173101999997</v>
      </c>
      <c r="J226" s="656">
        <f t="shared" si="140"/>
        <v>551.65199253840001</v>
      </c>
      <c r="K226" s="656">
        <f>I226*5.4%+I226</f>
        <v>632.00130449507992</v>
      </c>
      <c r="L226" s="656">
        <f t="shared" si="181"/>
        <v>695.20143494458796</v>
      </c>
      <c r="M226" s="657">
        <f>L226*5%+L226</f>
        <v>729.96150669181736</v>
      </c>
      <c r="N226" s="656">
        <f t="shared" si="168"/>
        <v>768.64946654648372</v>
      </c>
      <c r="O226" s="687">
        <f t="shared" si="169"/>
        <v>806.31329040726143</v>
      </c>
      <c r="P226" s="688">
        <f t="shared" si="170"/>
        <v>841.79107518518094</v>
      </c>
      <c r="Q226" s="938">
        <f t="shared" si="171"/>
        <v>836.14688215233014</v>
      </c>
      <c r="R226" s="857">
        <f t="shared" si="172"/>
        <v>863.73972926335705</v>
      </c>
      <c r="S226" s="857">
        <f t="shared" si="173"/>
        <v>891.3794005997845</v>
      </c>
    </row>
    <row r="227" spans="1:19" s="149" customFormat="1" ht="16" thickBot="1">
      <c r="A227" s="154"/>
      <c r="B227" s="619" t="s">
        <v>336</v>
      </c>
      <c r="C227" s="182"/>
      <c r="D227" s="190"/>
      <c r="E227" s="189"/>
      <c r="F227" s="400"/>
      <c r="G227" s="654"/>
      <c r="H227" s="656"/>
      <c r="I227" s="656"/>
      <c r="J227" s="656">
        <f t="shared" si="140"/>
        <v>0</v>
      </c>
      <c r="K227" s="656"/>
      <c r="L227" s="656"/>
      <c r="M227" s="657"/>
      <c r="N227" s="656">
        <f t="shared" si="168"/>
        <v>0</v>
      </c>
      <c r="O227" s="687">
        <f t="shared" si="169"/>
        <v>0</v>
      </c>
      <c r="P227" s="688">
        <f t="shared" si="170"/>
        <v>0</v>
      </c>
      <c r="Q227" s="938">
        <f t="shared" si="171"/>
        <v>0</v>
      </c>
      <c r="R227" s="857">
        <f t="shared" si="172"/>
        <v>0</v>
      </c>
      <c r="S227" s="857">
        <f t="shared" si="173"/>
        <v>0</v>
      </c>
    </row>
    <row r="228" spans="1:19" s="149" customFormat="1" ht="15" thickBot="1">
      <c r="A228" s="154"/>
      <c r="B228" s="621" t="s">
        <v>337</v>
      </c>
      <c r="C228" s="182">
        <v>12000</v>
      </c>
      <c r="D228" s="190"/>
      <c r="E228" s="189"/>
      <c r="F228" s="400">
        <v>611.5</v>
      </c>
      <c r="G228" s="654">
        <v>611.5</v>
      </c>
      <c r="H228" s="656">
        <f t="shared" ref="H228:I228" si="186">G228*5.3%+G228</f>
        <v>643.90949999999998</v>
      </c>
      <c r="I228" s="656">
        <f t="shared" si="186"/>
        <v>678.03670349999993</v>
      </c>
      <c r="J228" s="656">
        <f t="shared" si="140"/>
        <v>623.79376721999995</v>
      </c>
      <c r="K228" s="656">
        <f>I228*5.4%+I228</f>
        <v>714.6506854889999</v>
      </c>
      <c r="L228" s="656">
        <f t="shared" ref="L228:L232" si="187">K228*10%+K228</f>
        <v>786.11575403789993</v>
      </c>
      <c r="M228" s="657">
        <f>L228*5%+L228</f>
        <v>825.42154173979498</v>
      </c>
      <c r="N228" s="656">
        <f t="shared" si="168"/>
        <v>869.16888345200414</v>
      </c>
      <c r="O228" s="687">
        <f t="shared" si="169"/>
        <v>911.75815874115233</v>
      </c>
      <c r="P228" s="688">
        <f t="shared" si="170"/>
        <v>951.87551772576307</v>
      </c>
      <c r="Q228" s="938">
        <f t="shared" si="171"/>
        <v>945.49321061457499</v>
      </c>
      <c r="R228" s="857">
        <f t="shared" si="172"/>
        <v>976.69448656485599</v>
      </c>
      <c r="S228" s="857">
        <f t="shared" si="173"/>
        <v>1007.9487101349314</v>
      </c>
    </row>
    <row r="229" spans="1:19" s="149" customFormat="1" ht="15" thickBot="1">
      <c r="A229" s="154"/>
      <c r="B229" s="618"/>
      <c r="C229" s="182">
        <v>14000</v>
      </c>
      <c r="D229" s="190"/>
      <c r="E229" s="189"/>
      <c r="F229" s="400">
        <v>682.23</v>
      </c>
      <c r="G229" s="654">
        <v>682.23</v>
      </c>
      <c r="H229" s="656">
        <f t="shared" ref="H229:I229" si="188">G229*5.3%+G229</f>
        <v>718.38819000000001</v>
      </c>
      <c r="I229" s="656">
        <f t="shared" si="188"/>
        <v>756.46276407000005</v>
      </c>
      <c r="J229" s="656">
        <f t="shared" si="140"/>
        <v>695.94574294440008</v>
      </c>
      <c r="K229" s="656">
        <f>I229*5.4%+I229</f>
        <v>797.31175332978</v>
      </c>
      <c r="L229" s="656">
        <f t="shared" si="187"/>
        <v>877.04292866275796</v>
      </c>
      <c r="M229" s="657">
        <f>L229*5%+L229</f>
        <v>920.89507509589589</v>
      </c>
      <c r="N229" s="656">
        <f t="shared" si="168"/>
        <v>969.70251407597834</v>
      </c>
      <c r="O229" s="687">
        <f t="shared" si="169"/>
        <v>1017.2179372657013</v>
      </c>
      <c r="P229" s="688">
        <f t="shared" si="170"/>
        <v>1061.9755265053921</v>
      </c>
      <c r="Q229" s="938">
        <f t="shared" si="171"/>
        <v>1054.8550009445323</v>
      </c>
      <c r="R229" s="857">
        <f t="shared" si="172"/>
        <v>1089.6652159757018</v>
      </c>
      <c r="S229" s="857">
        <f t="shared" si="173"/>
        <v>1124.5345028869242</v>
      </c>
    </row>
    <row r="230" spans="1:19" s="149" customFormat="1" ht="15" thickBot="1">
      <c r="A230" s="154"/>
      <c r="B230" s="618"/>
      <c r="C230" s="182">
        <v>16000</v>
      </c>
      <c r="D230" s="190"/>
      <c r="E230" s="189"/>
      <c r="F230" s="400">
        <v>752.95</v>
      </c>
      <c r="G230" s="654">
        <v>752.95</v>
      </c>
      <c r="H230" s="656">
        <f t="shared" ref="H230:I230" si="189">G230*5.3%+G230</f>
        <v>792.85635000000002</v>
      </c>
      <c r="I230" s="656">
        <f t="shared" si="189"/>
        <v>834.87773655000001</v>
      </c>
      <c r="J230" s="656">
        <f t="shared" si="140"/>
        <v>768.08751762600002</v>
      </c>
      <c r="K230" s="656">
        <f>I230*5.4%+I230</f>
        <v>879.96113432369998</v>
      </c>
      <c r="L230" s="656">
        <f t="shared" si="187"/>
        <v>967.95724775607005</v>
      </c>
      <c r="M230" s="657">
        <f>L230*5%+L230</f>
        <v>1016.3551101438735</v>
      </c>
      <c r="N230" s="656">
        <f t="shared" si="168"/>
        <v>1070.2219309814989</v>
      </c>
      <c r="O230" s="687">
        <f t="shared" si="169"/>
        <v>1122.6628055995923</v>
      </c>
      <c r="P230" s="688">
        <f t="shared" si="170"/>
        <v>1172.0599690459744</v>
      </c>
      <c r="Q230" s="938">
        <f t="shared" si="171"/>
        <v>1164.2013294067772</v>
      </c>
      <c r="R230" s="857">
        <f t="shared" si="172"/>
        <v>1202.6199732772009</v>
      </c>
      <c r="S230" s="857">
        <f t="shared" si="173"/>
        <v>1241.1038124220713</v>
      </c>
    </row>
    <row r="231" spans="1:19" s="149" customFormat="1" ht="15" thickBot="1">
      <c r="A231" s="154"/>
      <c r="B231" s="618"/>
      <c r="C231" s="182">
        <v>18000</v>
      </c>
      <c r="D231" s="190"/>
      <c r="E231" s="189"/>
      <c r="F231" s="400">
        <v>823.68</v>
      </c>
      <c r="G231" s="654">
        <v>823.68</v>
      </c>
      <c r="H231" s="656">
        <f t="shared" ref="H231:I231" si="190">G231*5.3%+G231</f>
        <v>867.33503999999994</v>
      </c>
      <c r="I231" s="656">
        <f t="shared" si="190"/>
        <v>913.3037971199999</v>
      </c>
      <c r="J231" s="656">
        <f t="shared" si="140"/>
        <v>840.23949335039993</v>
      </c>
      <c r="K231" s="656">
        <f>I231*5.4%+I231</f>
        <v>962.62220216447986</v>
      </c>
      <c r="L231" s="656">
        <f t="shared" si="187"/>
        <v>1058.8844223809278</v>
      </c>
      <c r="M231" s="657">
        <f>L231*5%+L231</f>
        <v>1111.8286434999743</v>
      </c>
      <c r="N231" s="656">
        <f t="shared" si="168"/>
        <v>1170.7555616054728</v>
      </c>
      <c r="O231" s="687">
        <f t="shared" si="169"/>
        <v>1228.122584124141</v>
      </c>
      <c r="P231" s="688">
        <f t="shared" si="170"/>
        <v>1282.1599778256032</v>
      </c>
      <c r="Q231" s="938">
        <f t="shared" si="171"/>
        <v>1273.5631197367343</v>
      </c>
      <c r="R231" s="857">
        <f t="shared" si="172"/>
        <v>1315.5907026880466</v>
      </c>
      <c r="S231" s="857">
        <f t="shared" si="173"/>
        <v>1357.6896051740641</v>
      </c>
    </row>
    <row r="232" spans="1:19" s="149" customFormat="1" ht="15" thickBot="1">
      <c r="A232" s="154"/>
      <c r="B232" s="618"/>
      <c r="C232" s="182">
        <v>20000</v>
      </c>
      <c r="D232" s="190"/>
      <c r="E232" s="189"/>
      <c r="F232" s="400">
        <v>894.4</v>
      </c>
      <c r="G232" s="654">
        <v>894.4</v>
      </c>
      <c r="H232" s="656">
        <f t="shared" ref="H232:I232" si="191">G232*5.3%+G232</f>
        <v>941.80319999999995</v>
      </c>
      <c r="I232" s="656">
        <f t="shared" si="191"/>
        <v>991.71876959999997</v>
      </c>
      <c r="J232" s="656">
        <f t="shared" si="140"/>
        <v>912.38126803199998</v>
      </c>
      <c r="K232" s="656">
        <f>I232*5.4%+I232</f>
        <v>1045.2715831584001</v>
      </c>
      <c r="L232" s="656">
        <f t="shared" si="187"/>
        <v>1149.7987414742402</v>
      </c>
      <c r="M232" s="657">
        <f>L232*5%+L232</f>
        <v>1207.2886785479523</v>
      </c>
      <c r="N232" s="656">
        <f t="shared" si="168"/>
        <v>1271.2749785109938</v>
      </c>
      <c r="O232" s="687">
        <f t="shared" si="169"/>
        <v>1333.5674524580324</v>
      </c>
      <c r="P232" s="688">
        <f t="shared" si="170"/>
        <v>1392.244420366186</v>
      </c>
      <c r="Q232" s="938">
        <f t="shared" si="171"/>
        <v>1382.9094481989796</v>
      </c>
      <c r="R232" s="857">
        <f t="shared" si="172"/>
        <v>1428.5454599895459</v>
      </c>
      <c r="S232" s="857">
        <f t="shared" si="173"/>
        <v>1474.2589147092112</v>
      </c>
    </row>
    <row r="233" spans="1:19" s="149" customFormat="1" ht="15" thickBot="1">
      <c r="A233" s="154"/>
      <c r="B233" s="618"/>
      <c r="C233" s="182"/>
      <c r="D233" s="190"/>
      <c r="E233" s="189"/>
      <c r="F233" s="400"/>
      <c r="G233" s="654"/>
      <c r="H233" s="656"/>
      <c r="I233" s="656"/>
      <c r="J233" s="656">
        <f t="shared" si="140"/>
        <v>0</v>
      </c>
      <c r="K233" s="656"/>
      <c r="L233" s="656"/>
      <c r="M233" s="657"/>
      <c r="N233" s="656">
        <f t="shared" si="168"/>
        <v>0</v>
      </c>
      <c r="O233" s="687">
        <f t="shared" si="169"/>
        <v>0</v>
      </c>
      <c r="P233" s="688">
        <f t="shared" si="170"/>
        <v>0</v>
      </c>
      <c r="Q233" s="938">
        <f t="shared" si="171"/>
        <v>0</v>
      </c>
      <c r="R233" s="857">
        <f t="shared" si="172"/>
        <v>0</v>
      </c>
      <c r="S233" s="857">
        <f t="shared" si="173"/>
        <v>0</v>
      </c>
    </row>
    <row r="234" spans="1:19" s="149" customFormat="1" ht="16" thickBot="1">
      <c r="A234" s="154"/>
      <c r="B234" s="618" t="s">
        <v>338</v>
      </c>
      <c r="C234" s="182">
        <v>22000</v>
      </c>
      <c r="D234" s="190"/>
      <c r="E234" s="189"/>
      <c r="F234" s="400">
        <v>965.13</v>
      </c>
      <c r="G234" s="654">
        <v>965.13</v>
      </c>
      <c r="H234" s="656">
        <f t="shared" ref="H234:I234" si="192">G234*5.3%+G234</f>
        <v>1016.28189</v>
      </c>
      <c r="I234" s="656">
        <f t="shared" si="192"/>
        <v>1070.14483017</v>
      </c>
      <c r="J234" s="656">
        <f t="shared" si="140"/>
        <v>984.5332437564</v>
      </c>
      <c r="K234" s="656">
        <f>I234*5.4%+I234</f>
        <v>1127.9326509991799</v>
      </c>
      <c r="L234" s="656">
        <f t="shared" ref="L234:L238" si="193">K234*10%+K234</f>
        <v>1240.725916099098</v>
      </c>
      <c r="M234" s="657">
        <f>L234*5%+L234</f>
        <v>1302.7622119040529</v>
      </c>
      <c r="N234" s="656">
        <f t="shared" si="168"/>
        <v>1371.8086091349678</v>
      </c>
      <c r="O234" s="687">
        <f t="shared" si="169"/>
        <v>1439.0272309825812</v>
      </c>
      <c r="P234" s="688">
        <f t="shared" si="170"/>
        <v>1502.3444291458147</v>
      </c>
      <c r="Q234" s="938">
        <f t="shared" si="171"/>
        <v>1492.2712385289367</v>
      </c>
      <c r="R234" s="857">
        <f t="shared" si="172"/>
        <v>1541.5161894003916</v>
      </c>
      <c r="S234" s="857">
        <f t="shared" si="173"/>
        <v>1590.8447074612041</v>
      </c>
    </row>
    <row r="235" spans="1:19" s="149" customFormat="1" ht="15" thickBot="1">
      <c r="A235" s="154"/>
      <c r="B235" s="618"/>
      <c r="C235" s="182">
        <v>24000</v>
      </c>
      <c r="D235" s="190"/>
      <c r="E235" s="189"/>
      <c r="F235" s="400">
        <v>1035.8499999999999</v>
      </c>
      <c r="G235" s="654">
        <v>1035.8499999999999</v>
      </c>
      <c r="H235" s="656">
        <f t="shared" ref="H235:I235" si="194">G235*5.3%+G235</f>
        <v>1090.7500499999999</v>
      </c>
      <c r="I235" s="656">
        <f t="shared" si="194"/>
        <v>1148.5598026499999</v>
      </c>
      <c r="J235" s="656">
        <f t="shared" si="140"/>
        <v>1056.6750184379998</v>
      </c>
      <c r="K235" s="656">
        <f>I235*5.4%+I235</f>
        <v>1210.5820319930999</v>
      </c>
      <c r="L235" s="656">
        <f t="shared" si="193"/>
        <v>1331.6402351924098</v>
      </c>
      <c r="M235" s="657">
        <f>L235*5%+L235</f>
        <v>1398.2222469520302</v>
      </c>
      <c r="N235" s="656">
        <f t="shared" si="168"/>
        <v>1472.3280260404879</v>
      </c>
      <c r="O235" s="687">
        <f t="shared" si="169"/>
        <v>1544.4720993164717</v>
      </c>
      <c r="P235" s="688">
        <f t="shared" si="170"/>
        <v>1612.4288716863964</v>
      </c>
      <c r="Q235" s="938">
        <f t="shared" si="171"/>
        <v>1601.6175669911811</v>
      </c>
      <c r="R235" s="857">
        <f t="shared" si="172"/>
        <v>1654.4709467018902</v>
      </c>
      <c r="S235" s="857">
        <f t="shared" si="173"/>
        <v>1707.4140169963507</v>
      </c>
    </row>
    <row r="236" spans="1:19" s="149" customFormat="1" ht="15" thickBot="1">
      <c r="A236" s="154"/>
      <c r="B236" s="618"/>
      <c r="C236" s="182">
        <v>26000</v>
      </c>
      <c r="D236" s="190"/>
      <c r="E236" s="189"/>
      <c r="F236" s="400">
        <v>1107.32</v>
      </c>
      <c r="G236" s="654">
        <v>1107.32</v>
      </c>
      <c r="H236" s="656">
        <f t="shared" ref="H236:I236" si="195">G236*5.3%+G236</f>
        <v>1166.0079599999999</v>
      </c>
      <c r="I236" s="656">
        <f t="shared" si="195"/>
        <v>1227.8063818799999</v>
      </c>
      <c r="J236" s="656">
        <f t="shared" si="140"/>
        <v>1129.5818713295998</v>
      </c>
      <c r="K236" s="656">
        <f>I236*5.4%+I236</f>
        <v>1294.1079265015198</v>
      </c>
      <c r="L236" s="656">
        <f t="shared" si="193"/>
        <v>1423.5187191516718</v>
      </c>
      <c r="M236" s="657">
        <f>L236*5%+L236</f>
        <v>1494.6946551092553</v>
      </c>
      <c r="N236" s="656">
        <f t="shared" si="168"/>
        <v>1573.9134718300459</v>
      </c>
      <c r="O236" s="687">
        <f t="shared" si="169"/>
        <v>1651.0352319497181</v>
      </c>
      <c r="P236" s="688">
        <f t="shared" si="170"/>
        <v>1723.6807821555058</v>
      </c>
      <c r="Q236" s="938">
        <f t="shared" si="171"/>
        <v>1712.1235355318577</v>
      </c>
      <c r="R236" s="857">
        <f t="shared" si="172"/>
        <v>1768.623612204409</v>
      </c>
      <c r="S236" s="857">
        <f t="shared" si="173"/>
        <v>1825.2195677949501</v>
      </c>
    </row>
    <row r="237" spans="1:19" s="149" customFormat="1" ht="15" thickBot="1">
      <c r="A237" s="154"/>
      <c r="B237" s="618"/>
      <c r="C237" s="182">
        <v>28000</v>
      </c>
      <c r="D237" s="190"/>
      <c r="E237" s="189"/>
      <c r="F237" s="400">
        <v>1177.3</v>
      </c>
      <c r="G237" s="654">
        <v>1177.3</v>
      </c>
      <c r="H237" s="656">
        <f t="shared" ref="H237:I237" si="196">G237*5.3%+G237</f>
        <v>1239.6968999999999</v>
      </c>
      <c r="I237" s="656">
        <f t="shared" si="196"/>
        <v>1305.4008356999998</v>
      </c>
      <c r="J237" s="656">
        <f t="shared" si="140"/>
        <v>1200.9687688439999</v>
      </c>
      <c r="K237" s="656">
        <f>I237*5.4%+I237</f>
        <v>1375.8924808277998</v>
      </c>
      <c r="L237" s="656">
        <f t="shared" si="193"/>
        <v>1513.4817289105797</v>
      </c>
      <c r="M237" s="657">
        <f>L237*5%+L237</f>
        <v>1589.1558153561086</v>
      </c>
      <c r="N237" s="656">
        <f t="shared" si="168"/>
        <v>1673.3810735699824</v>
      </c>
      <c r="O237" s="687">
        <f t="shared" si="169"/>
        <v>1755.3767461749114</v>
      </c>
      <c r="P237" s="688">
        <f t="shared" si="170"/>
        <v>1832.6133230066075</v>
      </c>
      <c r="Q237" s="938">
        <f t="shared" si="171"/>
        <v>1820.3256857833831</v>
      </c>
      <c r="R237" s="857">
        <f t="shared" si="172"/>
        <v>1880.3964334142347</v>
      </c>
      <c r="S237" s="857">
        <f t="shared" si="173"/>
        <v>1940.5691192834902</v>
      </c>
    </row>
    <row r="238" spans="1:19" s="149" customFormat="1" ht="15" thickBot="1">
      <c r="A238" s="154"/>
      <c r="B238" s="618"/>
      <c r="C238" s="182">
        <v>30000</v>
      </c>
      <c r="D238" s="190"/>
      <c r="E238" s="189"/>
      <c r="F238" s="400">
        <v>1248.03</v>
      </c>
      <c r="G238" s="654">
        <v>1248.03</v>
      </c>
      <c r="H238" s="656">
        <f t="shared" ref="H238:I238" si="197">G238*5.3%+G238</f>
        <v>1314.1755900000001</v>
      </c>
      <c r="I238" s="656">
        <f t="shared" si="197"/>
        <v>1383.8268962700001</v>
      </c>
      <c r="J238" s="656">
        <f t="shared" si="140"/>
        <v>1273.1207445684001</v>
      </c>
      <c r="K238" s="656">
        <f>I238*5.4%+I238</f>
        <v>1458.5535486685801</v>
      </c>
      <c r="L238" s="656">
        <f t="shared" si="193"/>
        <v>1604.4089035354382</v>
      </c>
      <c r="M238" s="657">
        <f>L238*5%+L238</f>
        <v>1684.62934871221</v>
      </c>
      <c r="N238" s="656">
        <f t="shared" si="168"/>
        <v>1773.914704193957</v>
      </c>
      <c r="O238" s="687">
        <f t="shared" si="169"/>
        <v>1860.8365246994611</v>
      </c>
      <c r="P238" s="688">
        <f t="shared" si="170"/>
        <v>1942.7133317862374</v>
      </c>
      <c r="Q238" s="938">
        <f t="shared" si="171"/>
        <v>1929.6874761133411</v>
      </c>
      <c r="R238" s="857">
        <f t="shared" si="172"/>
        <v>1993.3671628250813</v>
      </c>
      <c r="S238" s="857">
        <f t="shared" si="173"/>
        <v>2057.1549120354839</v>
      </c>
    </row>
    <row r="239" spans="1:19" s="149" customFormat="1" ht="15" thickBot="1">
      <c r="A239" s="154"/>
      <c r="B239" s="618"/>
      <c r="C239" s="182"/>
      <c r="D239" s="190"/>
      <c r="E239" s="189"/>
      <c r="F239" s="400"/>
      <c r="G239" s="654"/>
      <c r="H239" s="656"/>
      <c r="I239" s="656"/>
      <c r="J239" s="656">
        <f t="shared" si="140"/>
        <v>0</v>
      </c>
      <c r="K239" s="656"/>
      <c r="L239" s="656"/>
      <c r="M239" s="657"/>
      <c r="N239" s="656">
        <f t="shared" si="168"/>
        <v>0</v>
      </c>
      <c r="O239" s="687">
        <f t="shared" si="169"/>
        <v>0</v>
      </c>
      <c r="P239" s="688">
        <f t="shared" si="170"/>
        <v>0</v>
      </c>
      <c r="Q239" s="938">
        <f t="shared" si="171"/>
        <v>0</v>
      </c>
      <c r="R239" s="857">
        <f t="shared" si="172"/>
        <v>0</v>
      </c>
      <c r="S239" s="857">
        <f t="shared" si="173"/>
        <v>0</v>
      </c>
    </row>
    <row r="240" spans="1:19" s="149" customFormat="1" ht="16" thickBot="1">
      <c r="A240" s="154"/>
      <c r="B240" s="618" t="s">
        <v>339</v>
      </c>
      <c r="C240" s="182">
        <v>32000</v>
      </c>
      <c r="D240" s="190"/>
      <c r="E240" s="189"/>
      <c r="F240" s="400">
        <v>1318.75</v>
      </c>
      <c r="G240" s="654">
        <v>1318.75</v>
      </c>
      <c r="H240" s="656">
        <f t="shared" ref="H240:I240" si="198">G240*5.3%+G240</f>
        <v>1388.64375</v>
      </c>
      <c r="I240" s="656">
        <f t="shared" si="198"/>
        <v>1462.2418687499999</v>
      </c>
      <c r="J240" s="656">
        <f t="shared" si="140"/>
        <v>1345.26251925</v>
      </c>
      <c r="K240" s="656">
        <f>I240*5.4%+I240</f>
        <v>1541.2029296624999</v>
      </c>
      <c r="L240" s="656">
        <f t="shared" ref="L240:L244" si="199">K240*10%+K240</f>
        <v>1695.3232226287498</v>
      </c>
      <c r="M240" s="657">
        <f>L240*5%+L240</f>
        <v>1780.0893837601873</v>
      </c>
      <c r="N240" s="656">
        <f t="shared" si="168"/>
        <v>1874.4341210994771</v>
      </c>
      <c r="O240" s="687">
        <f t="shared" si="169"/>
        <v>1966.2813930333516</v>
      </c>
      <c r="P240" s="688">
        <f t="shared" si="170"/>
        <v>2052.7977743268193</v>
      </c>
      <c r="Q240" s="938">
        <f t="shared" si="171"/>
        <v>2039.0338045755857</v>
      </c>
      <c r="R240" s="857">
        <f t="shared" si="172"/>
        <v>2106.3219201265802</v>
      </c>
      <c r="S240" s="857">
        <f t="shared" si="173"/>
        <v>2173.7242215706306</v>
      </c>
    </row>
    <row r="241" spans="1:19" s="149" customFormat="1" ht="15" thickBot="1">
      <c r="A241" s="154"/>
      <c r="B241" s="618"/>
      <c r="C241" s="182">
        <v>34000</v>
      </c>
      <c r="D241" s="190"/>
      <c r="E241" s="189"/>
      <c r="F241" s="400">
        <v>1389.47</v>
      </c>
      <c r="G241" s="654">
        <v>1389.47</v>
      </c>
      <c r="H241" s="656">
        <f t="shared" ref="H241:I241" si="200">G241*5.3%+G241</f>
        <v>1463.1119100000001</v>
      </c>
      <c r="I241" s="656">
        <f t="shared" si="200"/>
        <v>1540.6568412300001</v>
      </c>
      <c r="J241" s="656">
        <f t="shared" si="140"/>
        <v>1417.4042939316</v>
      </c>
      <c r="K241" s="656">
        <f>I241*5.4%+I241</f>
        <v>1623.8523106564201</v>
      </c>
      <c r="L241" s="656">
        <f t="shared" si="199"/>
        <v>1786.2375417220621</v>
      </c>
      <c r="M241" s="657">
        <f>L241*5%+L241</f>
        <v>1875.5494188081652</v>
      </c>
      <c r="N241" s="656">
        <f t="shared" si="168"/>
        <v>1974.9535380049979</v>
      </c>
      <c r="O241" s="687">
        <f t="shared" si="169"/>
        <v>2071.7262613672428</v>
      </c>
      <c r="P241" s="688">
        <f t="shared" si="170"/>
        <v>2162.8822168674014</v>
      </c>
      <c r="Q241" s="938">
        <f t="shared" si="171"/>
        <v>2148.380133037831</v>
      </c>
      <c r="R241" s="857">
        <f t="shared" si="172"/>
        <v>2219.2766774280794</v>
      </c>
      <c r="S241" s="857">
        <f t="shared" si="173"/>
        <v>2290.2935311057781</v>
      </c>
    </row>
    <row r="242" spans="1:19" s="149" customFormat="1" ht="15" thickBot="1">
      <c r="A242" s="154"/>
      <c r="B242" s="618"/>
      <c r="C242" s="182">
        <v>36000</v>
      </c>
      <c r="D242" s="190"/>
      <c r="E242" s="189"/>
      <c r="F242" s="400">
        <v>1460.2</v>
      </c>
      <c r="G242" s="654">
        <v>1460.2</v>
      </c>
      <c r="H242" s="656">
        <f t="shared" ref="H242:I242" si="201">G242*5.3%+G242</f>
        <v>1537.5906</v>
      </c>
      <c r="I242" s="656">
        <f t="shared" si="201"/>
        <v>1619.0829017999999</v>
      </c>
      <c r="J242" s="656">
        <f t="shared" si="140"/>
        <v>1489.556269656</v>
      </c>
      <c r="K242" s="656">
        <f>I242*5.4%+I242</f>
        <v>1706.5133784971999</v>
      </c>
      <c r="L242" s="656">
        <f t="shared" si="199"/>
        <v>1877.1647163469199</v>
      </c>
      <c r="M242" s="657">
        <f>L242*5%+L242</f>
        <v>1971.0229521642659</v>
      </c>
      <c r="N242" s="656">
        <f t="shared" si="168"/>
        <v>2075.4871686289721</v>
      </c>
      <c r="O242" s="687">
        <f t="shared" si="169"/>
        <v>2177.1860398917916</v>
      </c>
      <c r="P242" s="688">
        <f t="shared" si="170"/>
        <v>2272.9822256470302</v>
      </c>
      <c r="Q242" s="938">
        <f t="shared" si="171"/>
        <v>2257.7419233677879</v>
      </c>
      <c r="R242" s="857">
        <f t="shared" si="172"/>
        <v>2332.2474068389247</v>
      </c>
      <c r="S242" s="857">
        <f t="shared" si="173"/>
        <v>2406.8793238577705</v>
      </c>
    </row>
    <row r="243" spans="1:19" s="149" customFormat="1" ht="15" thickBot="1">
      <c r="A243" s="154"/>
      <c r="B243" s="618"/>
      <c r="C243" s="182">
        <v>38000</v>
      </c>
      <c r="D243" s="190"/>
      <c r="E243" s="189"/>
      <c r="F243" s="400">
        <v>1530.93</v>
      </c>
      <c r="G243" s="654">
        <v>1530.93</v>
      </c>
      <c r="H243" s="656">
        <f t="shared" ref="H243:I243" si="202">G243*5.3%+G243</f>
        <v>1612.0692900000001</v>
      </c>
      <c r="I243" s="656">
        <f t="shared" si="202"/>
        <v>1697.5089623700001</v>
      </c>
      <c r="J243" s="656">
        <f t="shared" si="140"/>
        <v>1561.7082453804001</v>
      </c>
      <c r="K243" s="656">
        <f>I243*5.4%+I243</f>
        <v>1789.17444633798</v>
      </c>
      <c r="L243" s="656">
        <f t="shared" si="199"/>
        <v>1968.091890971778</v>
      </c>
      <c r="M243" s="657">
        <f>L243*5%+L243</f>
        <v>2066.4964855203671</v>
      </c>
      <c r="N243" s="656">
        <f t="shared" si="168"/>
        <v>2176.0207992529467</v>
      </c>
      <c r="O243" s="687">
        <f t="shared" si="169"/>
        <v>2282.6458184163412</v>
      </c>
      <c r="P243" s="688">
        <f t="shared" si="170"/>
        <v>2383.0822344266603</v>
      </c>
      <c r="Q243" s="938">
        <f t="shared" si="171"/>
        <v>2367.1037136977457</v>
      </c>
      <c r="R243" s="857">
        <f t="shared" si="172"/>
        <v>2445.2181362497713</v>
      </c>
      <c r="S243" s="857">
        <f t="shared" si="173"/>
        <v>2523.4651166097638</v>
      </c>
    </row>
    <row r="244" spans="1:19" s="149" customFormat="1" ht="15" thickBot="1">
      <c r="A244" s="154"/>
      <c r="B244" s="618"/>
      <c r="C244" s="182">
        <v>40000</v>
      </c>
      <c r="D244" s="190"/>
      <c r="E244" s="189"/>
      <c r="F244" s="400">
        <v>1601.65</v>
      </c>
      <c r="G244" s="654">
        <v>1601.65</v>
      </c>
      <c r="H244" s="656">
        <f t="shared" ref="H244:I244" si="203">G244*5.3%+G244</f>
        <v>1686.53745</v>
      </c>
      <c r="I244" s="656">
        <f t="shared" si="203"/>
        <v>1775.92393485</v>
      </c>
      <c r="J244" s="656">
        <f t="shared" si="140"/>
        <v>1633.8500200620001</v>
      </c>
      <c r="K244" s="656">
        <f>I244*5.4%+I244</f>
        <v>1871.8238273319</v>
      </c>
      <c r="L244" s="656">
        <f t="shared" si="199"/>
        <v>2059.0062100650903</v>
      </c>
      <c r="M244" s="657">
        <f>L244*5%+L244</f>
        <v>2161.9565205683448</v>
      </c>
      <c r="N244" s="656">
        <f t="shared" si="168"/>
        <v>2276.540216158467</v>
      </c>
      <c r="O244" s="687">
        <f t="shared" si="169"/>
        <v>2388.0906867502317</v>
      </c>
      <c r="P244" s="688">
        <f t="shared" si="170"/>
        <v>2493.166676967242</v>
      </c>
      <c r="Q244" s="938">
        <f t="shared" si="171"/>
        <v>2476.4500421599905</v>
      </c>
      <c r="R244" s="857">
        <f t="shared" si="172"/>
        <v>2558.1728935512701</v>
      </c>
      <c r="S244" s="857">
        <f t="shared" si="173"/>
        <v>2640.0344261449109</v>
      </c>
    </row>
    <row r="245" spans="1:19" s="149" customFormat="1" ht="15" thickBot="1">
      <c r="A245" s="154"/>
      <c r="B245" s="618"/>
      <c r="C245" s="182"/>
      <c r="D245" s="190"/>
      <c r="E245" s="189"/>
      <c r="F245" s="400"/>
      <c r="G245" s="654"/>
      <c r="H245" s="656"/>
      <c r="I245" s="656"/>
      <c r="J245" s="656">
        <f t="shared" si="140"/>
        <v>0</v>
      </c>
      <c r="K245" s="656"/>
      <c r="L245" s="656"/>
      <c r="M245" s="657"/>
      <c r="N245" s="656">
        <f t="shared" si="168"/>
        <v>0</v>
      </c>
      <c r="O245" s="687">
        <f t="shared" si="169"/>
        <v>0</v>
      </c>
      <c r="P245" s="688">
        <f t="shared" si="170"/>
        <v>0</v>
      </c>
      <c r="Q245" s="938">
        <f t="shared" si="171"/>
        <v>0</v>
      </c>
      <c r="R245" s="857">
        <f t="shared" si="172"/>
        <v>0</v>
      </c>
      <c r="S245" s="857">
        <f t="shared" si="173"/>
        <v>0</v>
      </c>
    </row>
    <row r="246" spans="1:19" s="149" customFormat="1" ht="16" thickBot="1">
      <c r="A246" s="154"/>
      <c r="B246" s="618" t="s">
        <v>340</v>
      </c>
      <c r="C246" s="182">
        <v>42000</v>
      </c>
      <c r="D246" s="190"/>
      <c r="E246" s="189"/>
      <c r="F246" s="400">
        <v>1672.38</v>
      </c>
      <c r="G246" s="654">
        <v>1672.38</v>
      </c>
      <c r="H246" s="656">
        <f t="shared" ref="H246:I246" si="204">G246*5.3%+G246</f>
        <v>1761.0161400000002</v>
      </c>
      <c r="I246" s="656">
        <f t="shared" si="204"/>
        <v>1854.3499954200001</v>
      </c>
      <c r="J246" s="656">
        <f t="shared" si="140"/>
        <v>1706.0019957864001</v>
      </c>
      <c r="K246" s="656">
        <f>I246*5.4%+I246</f>
        <v>1954.4848951726801</v>
      </c>
      <c r="L246" s="656">
        <f t="shared" ref="L246:L250" si="205">K246*10%+K246</f>
        <v>2149.9333846899481</v>
      </c>
      <c r="M246" s="657">
        <f>L246*5%+L246</f>
        <v>2257.4300539244455</v>
      </c>
      <c r="N246" s="656">
        <f t="shared" ref="N246:N277" si="206">M246*5.3%+M246</f>
        <v>2377.0738467824413</v>
      </c>
      <c r="O246" s="687">
        <f t="shared" ref="O246:O277" si="207">N246*4.9%+N246</f>
        <v>2493.5504652747809</v>
      </c>
      <c r="P246" s="688">
        <f t="shared" ref="P246:P277" si="208">O246*4.4%+O246</f>
        <v>2603.2666857468712</v>
      </c>
      <c r="Q246" s="938">
        <f t="shared" ref="Q246:Q277" si="209">O246*3.7%+O246</f>
        <v>2585.8118324899478</v>
      </c>
      <c r="R246" s="857">
        <f t="shared" ref="R246:R277" si="210">Q246*3.3%+Q246</f>
        <v>2671.1436229621163</v>
      </c>
      <c r="S246" s="857">
        <f t="shared" ref="S246:S277" si="211">R246*3.2%+R246</f>
        <v>2756.6202188969041</v>
      </c>
    </row>
    <row r="247" spans="1:19" s="149" customFormat="1" ht="15" thickBot="1">
      <c r="A247" s="154"/>
      <c r="B247" s="618"/>
      <c r="C247" s="182">
        <v>44000</v>
      </c>
      <c r="D247" s="190"/>
      <c r="E247" s="189"/>
      <c r="F247" s="400">
        <v>1743.1</v>
      </c>
      <c r="G247" s="654">
        <v>1743.1</v>
      </c>
      <c r="H247" s="656">
        <f t="shared" ref="H247:I247" si="212">G247*5.3%+G247</f>
        <v>1835.4842999999998</v>
      </c>
      <c r="I247" s="656">
        <f t="shared" si="212"/>
        <v>1932.7649678999999</v>
      </c>
      <c r="J247" s="656">
        <f t="shared" ref="J247:J310" si="213">I247-I247*0.08</f>
        <v>1778.143770468</v>
      </c>
      <c r="K247" s="656">
        <f>I247*5.4%+I247</f>
        <v>2037.1342761665999</v>
      </c>
      <c r="L247" s="656">
        <f t="shared" si="205"/>
        <v>2240.8477037832599</v>
      </c>
      <c r="M247" s="657">
        <f>L247*5%+L247</f>
        <v>2352.8900889724227</v>
      </c>
      <c r="N247" s="656">
        <f t="shared" si="206"/>
        <v>2477.5932636879611</v>
      </c>
      <c r="O247" s="687">
        <f t="shared" si="207"/>
        <v>2598.995333608671</v>
      </c>
      <c r="P247" s="688">
        <f t="shared" si="208"/>
        <v>2713.3511282874524</v>
      </c>
      <c r="Q247" s="938">
        <f t="shared" si="209"/>
        <v>2695.1581609521918</v>
      </c>
      <c r="R247" s="857">
        <f t="shared" si="210"/>
        <v>2784.0983802636142</v>
      </c>
      <c r="S247" s="857">
        <f t="shared" si="211"/>
        <v>2873.1895284320499</v>
      </c>
    </row>
    <row r="248" spans="1:19" s="149" customFormat="1" ht="15" thickBot="1">
      <c r="A248" s="154"/>
      <c r="B248" s="618"/>
      <c r="C248" s="182">
        <v>46000</v>
      </c>
      <c r="D248" s="190"/>
      <c r="E248" s="189"/>
      <c r="F248" s="400">
        <v>1813.1</v>
      </c>
      <c r="G248" s="654">
        <v>1813.1</v>
      </c>
      <c r="H248" s="656">
        <f t="shared" ref="H248:I248" si="214">G248*5.3%+G248</f>
        <v>1909.1942999999999</v>
      </c>
      <c r="I248" s="656">
        <f t="shared" si="214"/>
        <v>2010.3815978999999</v>
      </c>
      <c r="J248" s="656">
        <f t="shared" si="213"/>
        <v>1849.5510700679999</v>
      </c>
      <c r="K248" s="656">
        <f>I248*5.4%+I248</f>
        <v>2118.9422041866001</v>
      </c>
      <c r="L248" s="656">
        <f t="shared" si="205"/>
        <v>2330.8364246052602</v>
      </c>
      <c r="M248" s="657">
        <f>L248*5%+L248</f>
        <v>2447.3782458355231</v>
      </c>
      <c r="N248" s="656">
        <f t="shared" si="206"/>
        <v>2577.0892928648059</v>
      </c>
      <c r="O248" s="687">
        <f t="shared" si="207"/>
        <v>2703.3666682151816</v>
      </c>
      <c r="P248" s="688">
        <f t="shared" si="208"/>
        <v>2822.3148016166497</v>
      </c>
      <c r="Q248" s="938">
        <f t="shared" si="209"/>
        <v>2803.3912349391435</v>
      </c>
      <c r="R248" s="857">
        <f t="shared" si="210"/>
        <v>2895.9031456921352</v>
      </c>
      <c r="S248" s="857">
        <f t="shared" si="211"/>
        <v>2988.5720463542834</v>
      </c>
    </row>
    <row r="249" spans="1:19" s="149" customFormat="1" ht="15" thickBot="1">
      <c r="A249" s="154"/>
      <c r="B249" s="618"/>
      <c r="C249" s="182">
        <v>48000</v>
      </c>
      <c r="D249" s="190"/>
      <c r="E249" s="189"/>
      <c r="F249" s="400">
        <v>1769.81</v>
      </c>
      <c r="G249" s="654">
        <v>1769.81</v>
      </c>
      <c r="H249" s="656">
        <f t="shared" ref="H249:I249" si="215">G249*5.3%+G249</f>
        <v>1863.6099299999998</v>
      </c>
      <c r="I249" s="656">
        <f t="shared" si="215"/>
        <v>1962.3812562899998</v>
      </c>
      <c r="J249" s="656">
        <f t="shared" si="213"/>
        <v>1805.3907557867997</v>
      </c>
      <c r="K249" s="656">
        <f>I249*5.4%+I249</f>
        <v>2068.3498441296597</v>
      </c>
      <c r="L249" s="656">
        <f t="shared" si="205"/>
        <v>2275.1848285426258</v>
      </c>
      <c r="M249" s="657">
        <f>L249*5%+L249</f>
        <v>2388.944069969757</v>
      </c>
      <c r="N249" s="656">
        <f t="shared" si="206"/>
        <v>2515.5581056781543</v>
      </c>
      <c r="O249" s="687">
        <f t="shared" si="207"/>
        <v>2638.8204528563838</v>
      </c>
      <c r="P249" s="688">
        <f t="shared" si="208"/>
        <v>2754.9285527820648</v>
      </c>
      <c r="Q249" s="938">
        <f t="shared" si="209"/>
        <v>2736.4568096120702</v>
      </c>
      <c r="R249" s="857">
        <f t="shared" si="210"/>
        <v>2826.7598843292685</v>
      </c>
      <c r="S249" s="857">
        <f t="shared" si="211"/>
        <v>2917.2162006278049</v>
      </c>
    </row>
    <row r="250" spans="1:19" s="149" customFormat="1" ht="15" thickBot="1">
      <c r="A250" s="154"/>
      <c r="B250" s="618"/>
      <c r="C250" s="182">
        <v>50000</v>
      </c>
      <c r="D250" s="190"/>
      <c r="E250" s="189"/>
      <c r="F250" s="400">
        <v>1955.28</v>
      </c>
      <c r="G250" s="654">
        <v>1955.28</v>
      </c>
      <c r="H250" s="656">
        <f t="shared" ref="H250:I250" si="216">G250*5.3%+G250</f>
        <v>2058.9098399999998</v>
      </c>
      <c r="I250" s="656">
        <f t="shared" si="216"/>
        <v>2168.0320615199998</v>
      </c>
      <c r="J250" s="656">
        <f t="shared" si="213"/>
        <v>1994.5894965983998</v>
      </c>
      <c r="K250" s="656">
        <f>I250*5.4%+I250</f>
        <v>2285.1057928420801</v>
      </c>
      <c r="L250" s="656">
        <f t="shared" si="205"/>
        <v>2513.6163721262883</v>
      </c>
      <c r="M250" s="657">
        <f>L250*5%+L250</f>
        <v>2639.2971907326028</v>
      </c>
      <c r="N250" s="656">
        <f t="shared" si="206"/>
        <v>2779.1799418414307</v>
      </c>
      <c r="O250" s="687">
        <f t="shared" si="207"/>
        <v>2915.3597589916608</v>
      </c>
      <c r="P250" s="688">
        <f t="shared" si="208"/>
        <v>3043.6355883872939</v>
      </c>
      <c r="Q250" s="938">
        <f t="shared" si="209"/>
        <v>3023.2280700743522</v>
      </c>
      <c r="R250" s="857">
        <f t="shared" si="210"/>
        <v>3122.9945963868058</v>
      </c>
      <c r="S250" s="857">
        <f t="shared" si="211"/>
        <v>3222.9304234711835</v>
      </c>
    </row>
    <row r="251" spans="1:19" s="149" customFormat="1" ht="15" thickBot="1">
      <c r="A251" s="154"/>
      <c r="B251" s="618"/>
      <c r="C251" s="182"/>
      <c r="D251" s="190"/>
      <c r="E251" s="189"/>
      <c r="F251" s="400"/>
      <c r="G251" s="654"/>
      <c r="H251" s="656"/>
      <c r="I251" s="656"/>
      <c r="J251" s="656">
        <f t="shared" si="213"/>
        <v>0</v>
      </c>
      <c r="K251" s="656"/>
      <c r="L251" s="656"/>
      <c r="M251" s="657"/>
      <c r="N251" s="656">
        <f t="shared" si="206"/>
        <v>0</v>
      </c>
      <c r="O251" s="687">
        <f t="shared" si="207"/>
        <v>0</v>
      </c>
      <c r="P251" s="688">
        <f t="shared" si="208"/>
        <v>0</v>
      </c>
      <c r="Q251" s="938">
        <f t="shared" si="209"/>
        <v>0</v>
      </c>
      <c r="R251" s="857">
        <f t="shared" si="210"/>
        <v>0</v>
      </c>
      <c r="S251" s="857">
        <f t="shared" si="211"/>
        <v>0</v>
      </c>
    </row>
    <row r="252" spans="1:19" s="149" customFormat="1" ht="16" thickBot="1">
      <c r="A252" s="154"/>
      <c r="B252" s="618" t="s">
        <v>341</v>
      </c>
      <c r="C252" s="182">
        <v>52000</v>
      </c>
      <c r="D252" s="190"/>
      <c r="E252" s="189"/>
      <c r="F252" s="400">
        <v>2026</v>
      </c>
      <c r="G252" s="654">
        <v>2026</v>
      </c>
      <c r="H252" s="656">
        <f t="shared" ref="H252:I252" si="217">G252*5.3%+G252</f>
        <v>2133.3780000000002</v>
      </c>
      <c r="I252" s="656">
        <f t="shared" si="217"/>
        <v>2246.4470340000003</v>
      </c>
      <c r="J252" s="656">
        <f t="shared" si="213"/>
        <v>2066.7312712800003</v>
      </c>
      <c r="K252" s="656">
        <f>I252*5.4%+I252</f>
        <v>2367.7551738360003</v>
      </c>
      <c r="L252" s="656">
        <f t="shared" ref="L252:L256" si="218">K252*10%+K252</f>
        <v>2604.5306912196002</v>
      </c>
      <c r="M252" s="657">
        <f>L252*5%+L252</f>
        <v>2734.75722578058</v>
      </c>
      <c r="N252" s="656">
        <f t="shared" si="206"/>
        <v>2879.6993587469506</v>
      </c>
      <c r="O252" s="687">
        <f t="shared" si="207"/>
        <v>3020.8046273255513</v>
      </c>
      <c r="P252" s="688">
        <f t="shared" si="208"/>
        <v>3153.7200309278755</v>
      </c>
      <c r="Q252" s="938">
        <f t="shared" si="209"/>
        <v>3132.5743985365966</v>
      </c>
      <c r="R252" s="857">
        <f t="shared" si="210"/>
        <v>3235.9493536883042</v>
      </c>
      <c r="S252" s="857">
        <f t="shared" si="211"/>
        <v>3339.4997330063297</v>
      </c>
    </row>
    <row r="253" spans="1:19" s="149" customFormat="1" ht="15" thickBot="1">
      <c r="A253" s="154"/>
      <c r="B253" s="618"/>
      <c r="C253" s="182">
        <v>54000</v>
      </c>
      <c r="D253" s="190"/>
      <c r="E253" s="189"/>
      <c r="F253" s="400">
        <v>2069.73</v>
      </c>
      <c r="G253" s="654">
        <v>2069.73</v>
      </c>
      <c r="H253" s="656">
        <f t="shared" ref="H253:I253" si="219">G253*5.3%+G253</f>
        <v>2179.42569</v>
      </c>
      <c r="I253" s="656">
        <f t="shared" si="219"/>
        <v>2294.9352515700002</v>
      </c>
      <c r="J253" s="656">
        <f t="shared" si="213"/>
        <v>2111.3404314444001</v>
      </c>
      <c r="K253" s="656">
        <f>I253*5.4%+I253</f>
        <v>2418.8617551547804</v>
      </c>
      <c r="L253" s="656">
        <f t="shared" si="218"/>
        <v>2660.7479306702585</v>
      </c>
      <c r="M253" s="657">
        <f>L253*5%+L253</f>
        <v>2793.7853272037714</v>
      </c>
      <c r="N253" s="656">
        <f t="shared" si="206"/>
        <v>2941.8559495455711</v>
      </c>
      <c r="O253" s="687">
        <f t="shared" si="207"/>
        <v>3086.0068910733039</v>
      </c>
      <c r="P253" s="688">
        <f t="shared" si="208"/>
        <v>3221.7911942805295</v>
      </c>
      <c r="Q253" s="938">
        <f t="shared" si="209"/>
        <v>3200.1891460430161</v>
      </c>
      <c r="R253" s="857">
        <f t="shared" si="210"/>
        <v>3305.7953878624357</v>
      </c>
      <c r="S253" s="857">
        <f t="shared" si="211"/>
        <v>3411.5808402740336</v>
      </c>
    </row>
    <row r="254" spans="1:19" s="149" customFormat="1" ht="15" thickBot="1">
      <c r="A254" s="154"/>
      <c r="B254" s="618"/>
      <c r="C254" s="182">
        <v>56000</v>
      </c>
      <c r="D254" s="190"/>
      <c r="E254" s="189"/>
      <c r="F254" s="400">
        <v>2167.73</v>
      </c>
      <c r="G254" s="654">
        <v>2167.73</v>
      </c>
      <c r="H254" s="656">
        <f t="shared" ref="H254:I254" si="220">G254*5.3%+G254</f>
        <v>2282.61969</v>
      </c>
      <c r="I254" s="656">
        <f t="shared" si="220"/>
        <v>2403.5985335700002</v>
      </c>
      <c r="J254" s="656">
        <f t="shared" si="213"/>
        <v>2211.3106508844003</v>
      </c>
      <c r="K254" s="656">
        <f>I254*5.4%+I254</f>
        <v>2533.3928543827801</v>
      </c>
      <c r="L254" s="656">
        <f t="shared" si="218"/>
        <v>2786.7321398210579</v>
      </c>
      <c r="M254" s="657">
        <f>L254*5%+L254</f>
        <v>2926.0687468121109</v>
      </c>
      <c r="N254" s="656">
        <f t="shared" si="206"/>
        <v>3081.150390393153</v>
      </c>
      <c r="O254" s="687">
        <f t="shared" si="207"/>
        <v>3232.1267595224176</v>
      </c>
      <c r="P254" s="688">
        <f t="shared" si="208"/>
        <v>3374.3403369414041</v>
      </c>
      <c r="Q254" s="938">
        <f t="shared" si="209"/>
        <v>3351.7154496247472</v>
      </c>
      <c r="R254" s="857">
        <f t="shared" si="210"/>
        <v>3462.322059462364</v>
      </c>
      <c r="S254" s="857">
        <f t="shared" si="211"/>
        <v>3573.1163653651597</v>
      </c>
    </row>
    <row r="255" spans="1:19" s="149" customFormat="1" ht="15" thickBot="1">
      <c r="A255" s="154"/>
      <c r="B255" s="618"/>
      <c r="C255" s="182">
        <v>58000</v>
      </c>
      <c r="D255" s="190"/>
      <c r="E255" s="189"/>
      <c r="F255" s="400">
        <v>2238.1799999999998</v>
      </c>
      <c r="G255" s="654">
        <v>2238.1799999999998</v>
      </c>
      <c r="H255" s="656">
        <f t="shared" ref="H255:I255" si="221">G255*5.3%+G255</f>
        <v>2356.8035399999999</v>
      </c>
      <c r="I255" s="656">
        <f t="shared" si="221"/>
        <v>2481.71412762</v>
      </c>
      <c r="J255" s="656">
        <f t="shared" si="213"/>
        <v>2283.1769974104</v>
      </c>
      <c r="K255" s="656">
        <f>I255*5.4%+I255</f>
        <v>2615.7266905114802</v>
      </c>
      <c r="L255" s="656">
        <f t="shared" si="218"/>
        <v>2877.2993595626281</v>
      </c>
      <c r="M255" s="657">
        <f>L255*5%+L255</f>
        <v>3021.1643275407596</v>
      </c>
      <c r="N255" s="656">
        <f t="shared" si="206"/>
        <v>3181.2860369004197</v>
      </c>
      <c r="O255" s="687">
        <f t="shared" si="207"/>
        <v>3337.1690527085402</v>
      </c>
      <c r="P255" s="688">
        <f t="shared" si="208"/>
        <v>3484.0044910277161</v>
      </c>
      <c r="Q255" s="938">
        <f t="shared" si="209"/>
        <v>3460.6443076587561</v>
      </c>
      <c r="R255" s="857">
        <f t="shared" si="210"/>
        <v>3574.8455698114949</v>
      </c>
      <c r="S255" s="857">
        <f t="shared" si="211"/>
        <v>3689.2406280454629</v>
      </c>
    </row>
    <row r="256" spans="1:19" s="149" customFormat="1" ht="15" thickBot="1">
      <c r="A256" s="154"/>
      <c r="B256" s="618"/>
      <c r="C256" s="182">
        <v>60000</v>
      </c>
      <c r="D256" s="190"/>
      <c r="E256" s="189"/>
      <c r="F256" s="400">
        <v>2308.9</v>
      </c>
      <c r="G256" s="654">
        <v>2308.9</v>
      </c>
      <c r="H256" s="656">
        <f t="shared" ref="H256:I256" si="222">G256*5.3%+G256</f>
        <v>2431.2717000000002</v>
      </c>
      <c r="I256" s="656">
        <f t="shared" si="222"/>
        <v>2560.1291001000004</v>
      </c>
      <c r="J256" s="656">
        <f t="shared" si="213"/>
        <v>2355.3187720920005</v>
      </c>
      <c r="K256" s="656">
        <f>I256*5.4%+I256</f>
        <v>2698.3760715054004</v>
      </c>
      <c r="L256" s="656">
        <f t="shared" si="218"/>
        <v>2968.2136786559404</v>
      </c>
      <c r="M256" s="657">
        <f>L256*5%+L256</f>
        <v>3116.6243625887373</v>
      </c>
      <c r="N256" s="656">
        <f t="shared" si="206"/>
        <v>3281.8054538059405</v>
      </c>
      <c r="O256" s="687">
        <f t="shared" si="207"/>
        <v>3442.6139210424317</v>
      </c>
      <c r="P256" s="688">
        <f t="shared" si="208"/>
        <v>3594.0889335682987</v>
      </c>
      <c r="Q256" s="938">
        <f t="shared" si="209"/>
        <v>3569.9906361210014</v>
      </c>
      <c r="R256" s="857">
        <f t="shared" si="210"/>
        <v>3687.8003271129946</v>
      </c>
      <c r="S256" s="857">
        <f t="shared" si="211"/>
        <v>3805.8099375806105</v>
      </c>
    </row>
    <row r="257" spans="1:19" s="149" customFormat="1" ht="15" thickBot="1">
      <c r="A257" s="154"/>
      <c r="B257" s="618"/>
      <c r="C257" s="182"/>
      <c r="D257" s="190"/>
      <c r="E257" s="189"/>
      <c r="F257" s="400"/>
      <c r="G257" s="654"/>
      <c r="H257" s="656"/>
      <c r="I257" s="656"/>
      <c r="J257" s="656">
        <f t="shared" si="213"/>
        <v>0</v>
      </c>
      <c r="K257" s="656"/>
      <c r="L257" s="656"/>
      <c r="M257" s="657"/>
      <c r="N257" s="656">
        <f t="shared" si="206"/>
        <v>0</v>
      </c>
      <c r="O257" s="687">
        <f t="shared" si="207"/>
        <v>0</v>
      </c>
      <c r="P257" s="688">
        <f t="shared" si="208"/>
        <v>0</v>
      </c>
      <c r="Q257" s="938">
        <f t="shared" si="209"/>
        <v>0</v>
      </c>
      <c r="R257" s="857">
        <f t="shared" si="210"/>
        <v>0</v>
      </c>
      <c r="S257" s="857">
        <f t="shared" si="211"/>
        <v>0</v>
      </c>
    </row>
    <row r="258" spans="1:19" s="149" customFormat="1" ht="16" thickBot="1">
      <c r="A258" s="154"/>
      <c r="B258" s="618" t="s">
        <v>342</v>
      </c>
      <c r="C258" s="182">
        <v>62000</v>
      </c>
      <c r="D258" s="190"/>
      <c r="E258" s="189"/>
      <c r="F258" s="400">
        <v>2379.63</v>
      </c>
      <c r="G258" s="654">
        <v>2379.63</v>
      </c>
      <c r="H258" s="656">
        <f t="shared" ref="H258:I258" si="223">G258*5.3%+G258</f>
        <v>2505.7503900000002</v>
      </c>
      <c r="I258" s="656">
        <f t="shared" si="223"/>
        <v>2638.5551606700001</v>
      </c>
      <c r="J258" s="656">
        <f t="shared" si="213"/>
        <v>2427.4707478164</v>
      </c>
      <c r="K258" s="656">
        <f>I258*5.4%+I258</f>
        <v>2781.0371393461801</v>
      </c>
      <c r="L258" s="656">
        <f t="shared" ref="L258:L262" si="224">K258*10%+K258</f>
        <v>3059.1408532807982</v>
      </c>
      <c r="M258" s="657">
        <f>L258*5%+L258</f>
        <v>3212.097895944838</v>
      </c>
      <c r="N258" s="656">
        <f t="shared" si="206"/>
        <v>3382.3390844299142</v>
      </c>
      <c r="O258" s="687">
        <f t="shared" si="207"/>
        <v>3548.0736995669799</v>
      </c>
      <c r="P258" s="688">
        <f t="shared" si="208"/>
        <v>3704.188942347927</v>
      </c>
      <c r="Q258" s="938">
        <f t="shared" si="209"/>
        <v>3679.3524264509583</v>
      </c>
      <c r="R258" s="857">
        <f t="shared" si="210"/>
        <v>3800.7710565238399</v>
      </c>
      <c r="S258" s="857">
        <f t="shared" si="211"/>
        <v>3922.3957303326029</v>
      </c>
    </row>
    <row r="259" spans="1:19" s="149" customFormat="1" ht="15" thickBot="1">
      <c r="A259" s="154"/>
      <c r="B259" s="618"/>
      <c r="C259" s="182">
        <v>64000</v>
      </c>
      <c r="D259" s="190"/>
      <c r="E259" s="189"/>
      <c r="F259" s="400">
        <v>2450.35</v>
      </c>
      <c r="G259" s="654">
        <v>2450.35</v>
      </c>
      <c r="H259" s="656">
        <f t="shared" ref="H259:I259" si="225">G259*5.3%+G259</f>
        <v>2580.2185500000001</v>
      </c>
      <c r="I259" s="656">
        <f t="shared" si="225"/>
        <v>2716.97013315</v>
      </c>
      <c r="J259" s="656">
        <f t="shared" si="213"/>
        <v>2499.6125224980001</v>
      </c>
      <c r="K259" s="656">
        <f>I259*5.4%+I259</f>
        <v>2863.6865203401003</v>
      </c>
      <c r="L259" s="656">
        <f t="shared" si="224"/>
        <v>3150.0551723741105</v>
      </c>
      <c r="M259" s="657">
        <f>L259*5%+L259</f>
        <v>3307.5579309928162</v>
      </c>
      <c r="N259" s="656">
        <f t="shared" si="206"/>
        <v>3482.8585013354354</v>
      </c>
      <c r="O259" s="687">
        <f t="shared" si="207"/>
        <v>3653.5185679008719</v>
      </c>
      <c r="P259" s="688">
        <f t="shared" si="208"/>
        <v>3814.27338488851</v>
      </c>
      <c r="Q259" s="938">
        <f t="shared" si="209"/>
        <v>3788.6987549132041</v>
      </c>
      <c r="R259" s="857">
        <f t="shared" si="210"/>
        <v>3913.7258138253396</v>
      </c>
      <c r="S259" s="857">
        <f t="shared" si="211"/>
        <v>4038.9650398677504</v>
      </c>
    </row>
    <row r="260" spans="1:19" s="149" customFormat="1" ht="15" thickBot="1">
      <c r="A260" s="154"/>
      <c r="B260" s="618"/>
      <c r="C260" s="182">
        <v>66000</v>
      </c>
      <c r="D260" s="190"/>
      <c r="E260" s="189"/>
      <c r="F260" s="400">
        <v>2521.08</v>
      </c>
      <c r="G260" s="654">
        <v>2521.08</v>
      </c>
      <c r="H260" s="656">
        <f t="shared" ref="H260:I260" si="226">G260*5.3%+G260</f>
        <v>2654.69724</v>
      </c>
      <c r="I260" s="656">
        <f t="shared" si="226"/>
        <v>2795.3961937200002</v>
      </c>
      <c r="J260" s="656">
        <f t="shared" si="213"/>
        <v>2571.7644982224001</v>
      </c>
      <c r="K260" s="656">
        <f>I260*5.4%+I260</f>
        <v>2946.3475881808804</v>
      </c>
      <c r="L260" s="656">
        <f t="shared" si="224"/>
        <v>3240.9823469989683</v>
      </c>
      <c r="M260" s="657">
        <f>L260*5%+L260</f>
        <v>3403.0314643489169</v>
      </c>
      <c r="N260" s="656">
        <f t="shared" si="206"/>
        <v>3583.3921319594097</v>
      </c>
      <c r="O260" s="687">
        <f t="shared" si="207"/>
        <v>3758.9783464254206</v>
      </c>
      <c r="P260" s="688">
        <f t="shared" si="208"/>
        <v>3924.3733936681392</v>
      </c>
      <c r="Q260" s="938">
        <f t="shared" si="209"/>
        <v>3898.060545243161</v>
      </c>
      <c r="R260" s="857">
        <f t="shared" si="210"/>
        <v>4026.6965432361853</v>
      </c>
      <c r="S260" s="857">
        <f t="shared" si="211"/>
        <v>4155.5508326197432</v>
      </c>
    </row>
    <row r="261" spans="1:19" s="149" customFormat="1" ht="15" thickBot="1">
      <c r="A261" s="154"/>
      <c r="B261" s="618"/>
      <c r="C261" s="182">
        <v>68000</v>
      </c>
      <c r="D261" s="190"/>
      <c r="E261" s="189"/>
      <c r="F261" s="400">
        <v>2591.8000000000002</v>
      </c>
      <c r="G261" s="654">
        <v>2591.8000000000002</v>
      </c>
      <c r="H261" s="656">
        <f t="shared" ref="H261:I261" si="227">G261*5.3%+G261</f>
        <v>2729.1654000000003</v>
      </c>
      <c r="I261" s="656">
        <f t="shared" si="227"/>
        <v>2873.8111662000001</v>
      </c>
      <c r="J261" s="656">
        <f t="shared" si="213"/>
        <v>2643.9062729040002</v>
      </c>
      <c r="K261" s="656">
        <f>I261*5.4%+I261</f>
        <v>3028.9969691748001</v>
      </c>
      <c r="L261" s="656">
        <f t="shared" si="224"/>
        <v>3331.8966660922802</v>
      </c>
      <c r="M261" s="657">
        <f>L261*5%+L261</f>
        <v>3498.4914993968941</v>
      </c>
      <c r="N261" s="656">
        <f t="shared" si="206"/>
        <v>3683.9115488649295</v>
      </c>
      <c r="O261" s="687">
        <f t="shared" si="207"/>
        <v>3864.4232147593111</v>
      </c>
      <c r="P261" s="688">
        <f t="shared" si="208"/>
        <v>4034.4578362087209</v>
      </c>
      <c r="Q261" s="938">
        <f t="shared" si="209"/>
        <v>4007.4068737054058</v>
      </c>
      <c r="R261" s="857">
        <f t="shared" si="210"/>
        <v>4139.6513005376846</v>
      </c>
      <c r="S261" s="857">
        <f t="shared" si="211"/>
        <v>4272.1201421548903</v>
      </c>
    </row>
    <row r="262" spans="1:19" s="149" customFormat="1" ht="15" thickBot="1">
      <c r="A262" s="154"/>
      <c r="B262" s="618"/>
      <c r="C262" s="182">
        <v>70000</v>
      </c>
      <c r="D262" s="190"/>
      <c r="E262" s="189"/>
      <c r="F262" s="400">
        <v>2662.56</v>
      </c>
      <c r="G262" s="654">
        <v>2662.56</v>
      </c>
      <c r="H262" s="656">
        <f t="shared" ref="H262:I262" si="228">G262*5.3%+G262</f>
        <v>2803.6756799999998</v>
      </c>
      <c r="I262" s="656">
        <f t="shared" si="228"/>
        <v>2952.2704910399998</v>
      </c>
      <c r="J262" s="656">
        <f t="shared" si="213"/>
        <v>2716.0888517567996</v>
      </c>
      <c r="K262" s="656">
        <f>I262*5.4%+I262</f>
        <v>3111.69309755616</v>
      </c>
      <c r="L262" s="656">
        <f t="shared" si="224"/>
        <v>3422.8624073117762</v>
      </c>
      <c r="M262" s="657">
        <f>L262*5%+L262</f>
        <v>3594.0055276773651</v>
      </c>
      <c r="N262" s="656">
        <f t="shared" si="206"/>
        <v>3784.4878206442654</v>
      </c>
      <c r="O262" s="687">
        <f t="shared" si="207"/>
        <v>3969.9277238558343</v>
      </c>
      <c r="P262" s="688">
        <f t="shared" si="208"/>
        <v>4144.6045437054909</v>
      </c>
      <c r="Q262" s="938">
        <f t="shared" si="209"/>
        <v>4116.8150496385006</v>
      </c>
      <c r="R262" s="857">
        <f t="shared" si="210"/>
        <v>4252.669946276571</v>
      </c>
      <c r="S262" s="857">
        <f t="shared" si="211"/>
        <v>4388.7553845574212</v>
      </c>
    </row>
    <row r="263" spans="1:19" s="149" customFormat="1" ht="15" thickBot="1">
      <c r="A263" s="154"/>
      <c r="B263" s="618"/>
      <c r="C263" s="182"/>
      <c r="D263" s="190"/>
      <c r="E263" s="189"/>
      <c r="F263" s="400"/>
      <c r="G263" s="654"/>
      <c r="H263" s="656"/>
      <c r="I263" s="656"/>
      <c r="J263" s="656">
        <f t="shared" si="213"/>
        <v>0</v>
      </c>
      <c r="K263" s="656"/>
      <c r="L263" s="656"/>
      <c r="M263" s="657"/>
      <c r="N263" s="656">
        <f t="shared" si="206"/>
        <v>0</v>
      </c>
      <c r="O263" s="687">
        <f t="shared" si="207"/>
        <v>0</v>
      </c>
      <c r="P263" s="688">
        <f t="shared" si="208"/>
        <v>0</v>
      </c>
      <c r="Q263" s="938">
        <f t="shared" si="209"/>
        <v>0</v>
      </c>
      <c r="R263" s="857">
        <f t="shared" si="210"/>
        <v>0</v>
      </c>
      <c r="S263" s="857">
        <f t="shared" si="211"/>
        <v>0</v>
      </c>
    </row>
    <row r="264" spans="1:19" s="149" customFormat="1" ht="16" thickBot="1">
      <c r="A264" s="154"/>
      <c r="B264" s="618" t="s">
        <v>343</v>
      </c>
      <c r="C264" s="182">
        <v>72000</v>
      </c>
      <c r="D264" s="190"/>
      <c r="E264" s="189"/>
      <c r="F264" s="400">
        <v>2733.25</v>
      </c>
      <c r="G264" s="654">
        <v>2733.25</v>
      </c>
      <c r="H264" s="656">
        <f t="shared" ref="H264:I264" si="229">G264*5.3%+G264</f>
        <v>2878.1122500000001</v>
      </c>
      <c r="I264" s="656">
        <f t="shared" si="229"/>
        <v>3030.6521992500002</v>
      </c>
      <c r="J264" s="656">
        <f t="shared" si="213"/>
        <v>2788.2000233100002</v>
      </c>
      <c r="K264" s="656">
        <f>I264*5.4%+I264</f>
        <v>3194.3074180095</v>
      </c>
      <c r="L264" s="656">
        <f t="shared" ref="L264:L268" si="230">K264*10%+K264</f>
        <v>3513.7381598104503</v>
      </c>
      <c r="M264" s="657">
        <f>L264*5%+L264</f>
        <v>3689.425067800973</v>
      </c>
      <c r="N264" s="656">
        <f t="shared" si="206"/>
        <v>3884.9645963944245</v>
      </c>
      <c r="O264" s="687">
        <f t="shared" si="207"/>
        <v>4075.3278616177513</v>
      </c>
      <c r="P264" s="688">
        <f t="shared" si="208"/>
        <v>4254.6422875289327</v>
      </c>
      <c r="Q264" s="938">
        <f t="shared" si="209"/>
        <v>4226.114992497608</v>
      </c>
      <c r="R264" s="857">
        <f t="shared" si="210"/>
        <v>4365.5767872500292</v>
      </c>
      <c r="S264" s="857">
        <f t="shared" si="211"/>
        <v>4505.2752444420303</v>
      </c>
    </row>
    <row r="265" spans="1:19" s="149" customFormat="1" ht="15" thickBot="1">
      <c r="A265" s="154"/>
      <c r="B265" s="618"/>
      <c r="C265" s="182">
        <v>74000</v>
      </c>
      <c r="D265" s="190"/>
      <c r="E265" s="189"/>
      <c r="F265" s="400">
        <v>2803.98</v>
      </c>
      <c r="G265" s="654">
        <v>2803.98</v>
      </c>
      <c r="H265" s="656">
        <f t="shared" ref="H265:I265" si="231">G265*5.3%+G265</f>
        <v>2952.59094</v>
      </c>
      <c r="I265" s="656">
        <f t="shared" si="231"/>
        <v>3109.0782598199999</v>
      </c>
      <c r="J265" s="656">
        <f t="shared" si="213"/>
        <v>2860.3519990343998</v>
      </c>
      <c r="K265" s="656">
        <f>I265*5.4%+I265</f>
        <v>3276.9684858502796</v>
      </c>
      <c r="L265" s="656">
        <f t="shared" si="230"/>
        <v>3604.6653344353076</v>
      </c>
      <c r="M265" s="657">
        <f>L265*5%+L265</f>
        <v>3784.8986011570732</v>
      </c>
      <c r="N265" s="656">
        <f t="shared" si="206"/>
        <v>3985.4982270183982</v>
      </c>
      <c r="O265" s="687">
        <f t="shared" si="207"/>
        <v>4180.7876401423</v>
      </c>
      <c r="P265" s="688">
        <f t="shared" si="208"/>
        <v>4364.742296308561</v>
      </c>
      <c r="Q265" s="938">
        <f t="shared" si="209"/>
        <v>4335.4767828275653</v>
      </c>
      <c r="R265" s="857">
        <f t="shared" si="210"/>
        <v>4478.5475166608749</v>
      </c>
      <c r="S265" s="857">
        <f t="shared" si="211"/>
        <v>4621.8610371940231</v>
      </c>
    </row>
    <row r="266" spans="1:19" s="149" customFormat="1" ht="15" thickBot="1">
      <c r="A266" s="154"/>
      <c r="B266" s="618"/>
      <c r="C266" s="182">
        <v>76000</v>
      </c>
      <c r="D266" s="190"/>
      <c r="E266" s="189"/>
      <c r="F266" s="400">
        <v>2874.7</v>
      </c>
      <c r="G266" s="654">
        <v>2874.7</v>
      </c>
      <c r="H266" s="656">
        <f t="shared" ref="H266:I266" si="232">G266*5.3%+G266</f>
        <v>3027.0590999999999</v>
      </c>
      <c r="I266" s="656">
        <f t="shared" si="232"/>
        <v>3187.4932322999998</v>
      </c>
      <c r="J266" s="656">
        <f t="shared" si="213"/>
        <v>2932.4937737159999</v>
      </c>
      <c r="K266" s="656">
        <f>I266*5.4%+I266</f>
        <v>3359.6178668441999</v>
      </c>
      <c r="L266" s="656">
        <f t="shared" si="230"/>
        <v>3695.5796535286199</v>
      </c>
      <c r="M266" s="657">
        <f>L266*5%+L266</f>
        <v>3880.358636205051</v>
      </c>
      <c r="N266" s="656">
        <f t="shared" si="206"/>
        <v>4086.0176439239185</v>
      </c>
      <c r="O266" s="687">
        <f t="shared" si="207"/>
        <v>4286.2325084761906</v>
      </c>
      <c r="P266" s="688">
        <f t="shared" si="208"/>
        <v>4474.8267388491431</v>
      </c>
      <c r="Q266" s="938">
        <f t="shared" si="209"/>
        <v>4444.8231112898093</v>
      </c>
      <c r="R266" s="857">
        <f t="shared" si="210"/>
        <v>4591.5022739623728</v>
      </c>
      <c r="S266" s="857">
        <f t="shared" si="211"/>
        <v>4738.4303467291684</v>
      </c>
    </row>
    <row r="267" spans="1:19" s="149" customFormat="1" ht="15" thickBot="1">
      <c r="A267" s="154"/>
      <c r="B267" s="618"/>
      <c r="C267" s="182">
        <v>78000</v>
      </c>
      <c r="D267" s="190"/>
      <c r="E267" s="189"/>
      <c r="F267" s="400">
        <v>2945.43</v>
      </c>
      <c r="G267" s="654">
        <v>2945.43</v>
      </c>
      <c r="H267" s="656">
        <f t="shared" ref="H267:I267" si="233">G267*5.3%+G267</f>
        <v>3101.5377899999999</v>
      </c>
      <c r="I267" s="656">
        <f t="shared" si="233"/>
        <v>3265.9192928699999</v>
      </c>
      <c r="J267" s="656">
        <f t="shared" si="213"/>
        <v>3004.6457494403999</v>
      </c>
      <c r="K267" s="656">
        <f>I267*5.4%+I267</f>
        <v>3442.27893468498</v>
      </c>
      <c r="L267" s="656">
        <f t="shared" si="230"/>
        <v>3786.5068281534777</v>
      </c>
      <c r="M267" s="657">
        <f>L267*5%+L267</f>
        <v>3975.8321695611517</v>
      </c>
      <c r="N267" s="656">
        <f t="shared" si="206"/>
        <v>4186.5512745478927</v>
      </c>
      <c r="O267" s="687">
        <f t="shared" si="207"/>
        <v>4391.6922870007393</v>
      </c>
      <c r="P267" s="688">
        <f t="shared" si="208"/>
        <v>4584.9267476287714</v>
      </c>
      <c r="Q267" s="938">
        <f t="shared" si="209"/>
        <v>4554.1849016197666</v>
      </c>
      <c r="R267" s="857">
        <f t="shared" si="210"/>
        <v>4704.4730033732185</v>
      </c>
      <c r="S267" s="857">
        <f t="shared" si="211"/>
        <v>4855.0161394811612</v>
      </c>
    </row>
    <row r="268" spans="1:19" s="149" customFormat="1" ht="15" thickBot="1">
      <c r="A268" s="154"/>
      <c r="B268" s="618"/>
      <c r="C268" s="182">
        <v>80000</v>
      </c>
      <c r="D268" s="190"/>
      <c r="E268" s="189"/>
      <c r="F268" s="400">
        <v>3016.15</v>
      </c>
      <c r="G268" s="654">
        <v>3016.15</v>
      </c>
      <c r="H268" s="656">
        <f t="shared" ref="H268:I268" si="234">G268*5.3%+G268</f>
        <v>3176.0059500000002</v>
      </c>
      <c r="I268" s="656">
        <f t="shared" si="234"/>
        <v>3344.3342653500004</v>
      </c>
      <c r="J268" s="656">
        <f t="shared" si="213"/>
        <v>3076.7875241220004</v>
      </c>
      <c r="K268" s="656">
        <f>I268*5.4%+I268</f>
        <v>3524.9283156789006</v>
      </c>
      <c r="L268" s="656">
        <f t="shared" si="230"/>
        <v>3877.4211472467905</v>
      </c>
      <c r="M268" s="657">
        <f>L268*5%+L268</f>
        <v>4071.2922046091298</v>
      </c>
      <c r="N268" s="656">
        <f t="shared" si="206"/>
        <v>4287.0706914534139</v>
      </c>
      <c r="O268" s="687">
        <f t="shared" si="207"/>
        <v>4497.1371553346316</v>
      </c>
      <c r="P268" s="688">
        <f t="shared" si="208"/>
        <v>4695.0111901693554</v>
      </c>
      <c r="Q268" s="938">
        <f t="shared" si="209"/>
        <v>4663.5312300820133</v>
      </c>
      <c r="R268" s="857">
        <f t="shared" si="210"/>
        <v>4817.42776067472</v>
      </c>
      <c r="S268" s="857">
        <f t="shared" si="211"/>
        <v>4971.585449016311</v>
      </c>
    </row>
    <row r="269" spans="1:19" s="149" customFormat="1" ht="15" thickBot="1">
      <c r="A269" s="154"/>
      <c r="B269" s="618"/>
      <c r="C269" s="182"/>
      <c r="D269" s="190"/>
      <c r="E269" s="189"/>
      <c r="F269" s="400"/>
      <c r="G269" s="654"/>
      <c r="H269" s="656"/>
      <c r="I269" s="656"/>
      <c r="J269" s="656">
        <f t="shared" si="213"/>
        <v>0</v>
      </c>
      <c r="K269" s="656"/>
      <c r="L269" s="656"/>
      <c r="M269" s="657"/>
      <c r="N269" s="656">
        <f t="shared" si="206"/>
        <v>0</v>
      </c>
      <c r="O269" s="687">
        <f t="shared" si="207"/>
        <v>0</v>
      </c>
      <c r="P269" s="688">
        <f t="shared" si="208"/>
        <v>0</v>
      </c>
      <c r="Q269" s="938">
        <f t="shared" si="209"/>
        <v>0</v>
      </c>
      <c r="R269" s="857">
        <f t="shared" si="210"/>
        <v>0</v>
      </c>
      <c r="S269" s="857">
        <f t="shared" si="211"/>
        <v>0</v>
      </c>
    </row>
    <row r="270" spans="1:19" s="149" customFormat="1" ht="16" thickBot="1">
      <c r="A270" s="154"/>
      <c r="B270" s="618" t="s">
        <v>344</v>
      </c>
      <c r="C270" s="182">
        <v>82000</v>
      </c>
      <c r="D270" s="190"/>
      <c r="E270" s="189"/>
      <c r="F270" s="400">
        <v>3086.88</v>
      </c>
      <c r="G270" s="654">
        <v>3086.88</v>
      </c>
      <c r="H270" s="656">
        <f t="shared" ref="H270:I270" si="235">G270*5.3%+G270</f>
        <v>3250.4846400000001</v>
      </c>
      <c r="I270" s="656">
        <f t="shared" si="235"/>
        <v>3422.76032592</v>
      </c>
      <c r="J270" s="656">
        <f t="shared" si="213"/>
        <v>3148.9394998463999</v>
      </c>
      <c r="K270" s="656">
        <f>I270*5.4%+I270</f>
        <v>3607.5893835196803</v>
      </c>
      <c r="L270" s="656">
        <f t="shared" ref="L270:L274" si="236">K270*10%+K270</f>
        <v>3968.3483218716483</v>
      </c>
      <c r="M270" s="657">
        <f>L270*5%+L270</f>
        <v>4166.765737965231</v>
      </c>
      <c r="N270" s="656">
        <f t="shared" si="206"/>
        <v>4387.6043220773881</v>
      </c>
      <c r="O270" s="687">
        <f t="shared" si="207"/>
        <v>4602.5969338591804</v>
      </c>
      <c r="P270" s="688">
        <f t="shared" si="208"/>
        <v>4805.1111989489846</v>
      </c>
      <c r="Q270" s="938">
        <f t="shared" si="209"/>
        <v>4772.8930204119697</v>
      </c>
      <c r="R270" s="857">
        <f t="shared" si="210"/>
        <v>4930.3984900855648</v>
      </c>
      <c r="S270" s="857">
        <f t="shared" si="211"/>
        <v>5088.1712417683029</v>
      </c>
    </row>
    <row r="271" spans="1:19" s="149" customFormat="1" ht="15" thickBot="1">
      <c r="A271" s="154"/>
      <c r="B271" s="618"/>
      <c r="C271" s="182">
        <v>84000</v>
      </c>
      <c r="D271" s="190"/>
      <c r="E271" s="189"/>
      <c r="F271" s="400">
        <v>3157.6</v>
      </c>
      <c r="G271" s="654">
        <v>3157.6</v>
      </c>
      <c r="H271" s="656">
        <f t="shared" ref="H271:I271" si="237">G271*5.3%+G271</f>
        <v>3324.9528</v>
      </c>
      <c r="I271" s="656">
        <f t="shared" si="237"/>
        <v>3501.1752984</v>
      </c>
      <c r="J271" s="656">
        <f t="shared" si="213"/>
        <v>3221.081274528</v>
      </c>
      <c r="K271" s="656">
        <f>I271*5.4%+I271</f>
        <v>3690.2387645136</v>
      </c>
      <c r="L271" s="656">
        <f t="shared" si="236"/>
        <v>4059.2626409649602</v>
      </c>
      <c r="M271" s="657">
        <f>L271*5%+L271</f>
        <v>4262.2257730132078</v>
      </c>
      <c r="N271" s="656">
        <f t="shared" si="206"/>
        <v>4488.1237389829075</v>
      </c>
      <c r="O271" s="687">
        <f t="shared" si="207"/>
        <v>4708.04180219307</v>
      </c>
      <c r="P271" s="688">
        <f t="shared" si="208"/>
        <v>4915.1956414895649</v>
      </c>
      <c r="Q271" s="938">
        <f t="shared" si="209"/>
        <v>4882.2393488742136</v>
      </c>
      <c r="R271" s="857">
        <f t="shared" si="210"/>
        <v>5043.3532473870628</v>
      </c>
      <c r="S271" s="857">
        <f t="shared" si="211"/>
        <v>5204.7405513034491</v>
      </c>
    </row>
    <row r="272" spans="1:19" s="149" customFormat="1" ht="15" thickBot="1">
      <c r="A272" s="154"/>
      <c r="B272" s="618"/>
      <c r="C272" s="182">
        <v>86000</v>
      </c>
      <c r="D272" s="190"/>
      <c r="E272" s="189"/>
      <c r="F272" s="400">
        <v>3228.33</v>
      </c>
      <c r="G272" s="654">
        <v>3228.33</v>
      </c>
      <c r="H272" s="656">
        <f t="shared" ref="H272:I272" si="238">G272*5.3%+G272</f>
        <v>3399.4314899999999</v>
      </c>
      <c r="I272" s="656">
        <f t="shared" si="238"/>
        <v>3579.6013589700001</v>
      </c>
      <c r="J272" s="656">
        <f t="shared" si="213"/>
        <v>3293.2332502524</v>
      </c>
      <c r="K272" s="656">
        <f>I272*5.4%+I272</f>
        <v>3772.8998323543801</v>
      </c>
      <c r="L272" s="656">
        <f t="shared" si="236"/>
        <v>4150.189815589818</v>
      </c>
      <c r="M272" s="657">
        <f>L272*5%+L272</f>
        <v>4357.6993063693089</v>
      </c>
      <c r="N272" s="656">
        <f t="shared" si="206"/>
        <v>4588.6573696068826</v>
      </c>
      <c r="O272" s="687">
        <f t="shared" si="207"/>
        <v>4813.5015807176196</v>
      </c>
      <c r="P272" s="688">
        <f t="shared" si="208"/>
        <v>5025.295650269195</v>
      </c>
      <c r="Q272" s="938">
        <f t="shared" si="209"/>
        <v>4991.6011392041719</v>
      </c>
      <c r="R272" s="857">
        <f t="shared" si="210"/>
        <v>5156.3239767979094</v>
      </c>
      <c r="S272" s="857">
        <f t="shared" si="211"/>
        <v>5321.3263440554429</v>
      </c>
    </row>
    <row r="273" spans="1:19" s="149" customFormat="1" ht="15" thickBot="1">
      <c r="A273" s="154"/>
      <c r="B273" s="618"/>
      <c r="C273" s="182">
        <v>88000</v>
      </c>
      <c r="D273" s="190"/>
      <c r="E273" s="189"/>
      <c r="F273" s="400">
        <v>3299.05</v>
      </c>
      <c r="G273" s="654">
        <v>3299.05</v>
      </c>
      <c r="H273" s="656">
        <f t="shared" ref="H273:I273" si="239">G273*5.3%+G273</f>
        <v>3473.8996500000003</v>
      </c>
      <c r="I273" s="656">
        <f t="shared" si="239"/>
        <v>3658.0163314500005</v>
      </c>
      <c r="J273" s="656">
        <f t="shared" si="213"/>
        <v>3365.3750249340005</v>
      </c>
      <c r="K273" s="656">
        <f>I273*5.4%+I273</f>
        <v>3855.5492133483003</v>
      </c>
      <c r="L273" s="656">
        <f t="shared" si="236"/>
        <v>4241.1041346831307</v>
      </c>
      <c r="M273" s="657">
        <f>L273*5%+L273</f>
        <v>4453.1593414172876</v>
      </c>
      <c r="N273" s="656">
        <f t="shared" si="206"/>
        <v>4689.1767865124039</v>
      </c>
      <c r="O273" s="687">
        <f t="shared" si="207"/>
        <v>4918.946449051512</v>
      </c>
      <c r="P273" s="688">
        <f t="shared" si="208"/>
        <v>5135.3800928097789</v>
      </c>
      <c r="Q273" s="938">
        <f t="shared" si="209"/>
        <v>5100.9474676664177</v>
      </c>
      <c r="R273" s="857">
        <f t="shared" si="210"/>
        <v>5269.2787340994091</v>
      </c>
      <c r="S273" s="857">
        <f t="shared" si="211"/>
        <v>5437.89565359059</v>
      </c>
    </row>
    <row r="274" spans="1:19" s="149" customFormat="1" ht="15" thickBot="1">
      <c r="A274" s="154"/>
      <c r="B274" s="618"/>
      <c r="C274" s="182">
        <v>90000</v>
      </c>
      <c r="D274" s="190"/>
      <c r="E274" s="189"/>
      <c r="F274" s="400">
        <v>3369.7829999999999</v>
      </c>
      <c r="G274" s="654">
        <v>3369.7829999999999</v>
      </c>
      <c r="H274" s="656">
        <f t="shared" ref="H274:I274" si="240">G274*5.3%+G274</f>
        <v>3548.3814990000001</v>
      </c>
      <c r="I274" s="656">
        <f t="shared" si="240"/>
        <v>3736.4457184470002</v>
      </c>
      <c r="J274" s="656">
        <f t="shared" si="213"/>
        <v>3437.5300609712403</v>
      </c>
      <c r="K274" s="656">
        <f>I274*5.4%+I274</f>
        <v>3938.2137872431381</v>
      </c>
      <c r="L274" s="656">
        <f t="shared" si="236"/>
        <v>4332.0351659674516</v>
      </c>
      <c r="M274" s="657">
        <f>L274*5%+L274</f>
        <v>4548.6369242658238</v>
      </c>
      <c r="N274" s="656">
        <f t="shared" si="206"/>
        <v>4789.7146812519122</v>
      </c>
      <c r="O274" s="687">
        <f t="shared" si="207"/>
        <v>5024.4107006332561</v>
      </c>
      <c r="P274" s="688">
        <f t="shared" si="208"/>
        <v>5245.4847714611196</v>
      </c>
      <c r="Q274" s="938">
        <f t="shared" si="209"/>
        <v>5210.3138965566868</v>
      </c>
      <c r="R274" s="857">
        <f t="shared" si="210"/>
        <v>5382.2542551430579</v>
      </c>
      <c r="S274" s="857">
        <f t="shared" si="211"/>
        <v>5554.486391307636</v>
      </c>
    </row>
    <row r="275" spans="1:19" s="149" customFormat="1" ht="15" thickBot="1">
      <c r="A275" s="154"/>
      <c r="B275" s="618"/>
      <c r="C275" s="182"/>
      <c r="D275" s="190"/>
      <c r="E275" s="189"/>
      <c r="F275" s="400"/>
      <c r="G275" s="654"/>
      <c r="H275" s="656"/>
      <c r="I275" s="656"/>
      <c r="J275" s="656">
        <f t="shared" si="213"/>
        <v>0</v>
      </c>
      <c r="K275" s="656"/>
      <c r="L275" s="656"/>
      <c r="M275" s="657"/>
      <c r="N275" s="656">
        <f t="shared" si="206"/>
        <v>0</v>
      </c>
      <c r="O275" s="687">
        <f t="shared" si="207"/>
        <v>0</v>
      </c>
      <c r="P275" s="688">
        <f t="shared" si="208"/>
        <v>0</v>
      </c>
      <c r="Q275" s="938">
        <f t="shared" si="209"/>
        <v>0</v>
      </c>
      <c r="R275" s="857">
        <f t="shared" si="210"/>
        <v>0</v>
      </c>
      <c r="S275" s="857">
        <f t="shared" si="211"/>
        <v>0</v>
      </c>
    </row>
    <row r="276" spans="1:19" s="149" customFormat="1" ht="16" thickBot="1">
      <c r="A276" s="154"/>
      <c r="B276" s="618" t="s">
        <v>345</v>
      </c>
      <c r="C276" s="182"/>
      <c r="D276" s="190"/>
      <c r="E276" s="189"/>
      <c r="F276" s="400">
        <v>4857.08</v>
      </c>
      <c r="G276" s="654">
        <v>4857.08</v>
      </c>
      <c r="H276" s="656">
        <f t="shared" ref="H276:I276" si="241">G276*5.3%+G276</f>
        <v>5114.5052399999995</v>
      </c>
      <c r="I276" s="656">
        <f t="shared" si="241"/>
        <v>5385.5740177199996</v>
      </c>
      <c r="J276" s="656">
        <f t="shared" si="213"/>
        <v>4954.7280963023995</v>
      </c>
      <c r="K276" s="656">
        <f>I276*5.4%+I276</f>
        <v>5676.3950146768793</v>
      </c>
      <c r="L276" s="656">
        <f>K276*10%+K276</f>
        <v>6244.0345161445675</v>
      </c>
      <c r="M276" s="657">
        <f>L276*5%+L276</f>
        <v>6556.2362419517958</v>
      </c>
      <c r="N276" s="656">
        <f t="shared" si="206"/>
        <v>6903.7167627752406</v>
      </c>
      <c r="O276" s="687">
        <f t="shared" si="207"/>
        <v>7241.9988841512277</v>
      </c>
      <c r="P276" s="688">
        <f t="shared" si="208"/>
        <v>7560.6468350538817</v>
      </c>
      <c r="Q276" s="938">
        <f t="shared" si="209"/>
        <v>7509.9528428648227</v>
      </c>
      <c r="R276" s="857">
        <f t="shared" si="210"/>
        <v>7757.781286679362</v>
      </c>
      <c r="S276" s="857">
        <f t="shared" si="211"/>
        <v>8006.030287853102</v>
      </c>
    </row>
    <row r="277" spans="1:19" s="149" customFormat="1" ht="15" thickBot="1">
      <c r="A277" s="154"/>
      <c r="B277" s="618"/>
      <c r="C277" s="182"/>
      <c r="D277" s="190"/>
      <c r="E277" s="189"/>
      <c r="F277" s="400"/>
      <c r="G277" s="654"/>
      <c r="H277" s="656"/>
      <c r="I277" s="656"/>
      <c r="J277" s="656">
        <f t="shared" si="213"/>
        <v>0</v>
      </c>
      <c r="K277" s="656"/>
      <c r="L277" s="656"/>
      <c r="M277" s="657"/>
      <c r="N277" s="656">
        <f t="shared" si="206"/>
        <v>0</v>
      </c>
      <c r="O277" s="687">
        <f t="shared" si="207"/>
        <v>0</v>
      </c>
      <c r="P277" s="688">
        <f t="shared" si="208"/>
        <v>0</v>
      </c>
      <c r="Q277" s="938">
        <f t="shared" si="209"/>
        <v>0</v>
      </c>
      <c r="R277" s="857">
        <f t="shared" si="210"/>
        <v>0</v>
      </c>
      <c r="S277" s="857">
        <f t="shared" si="211"/>
        <v>0</v>
      </c>
    </row>
    <row r="278" spans="1:19" s="149" customFormat="1" ht="31" thickBot="1">
      <c r="A278" s="154"/>
      <c r="B278" s="619" t="s">
        <v>346</v>
      </c>
      <c r="C278" s="182"/>
      <c r="D278" s="190"/>
      <c r="E278" s="189"/>
      <c r="F278" s="400"/>
      <c r="G278" s="654"/>
      <c r="H278" s="656"/>
      <c r="I278" s="656"/>
      <c r="J278" s="656">
        <f t="shared" si="213"/>
        <v>0</v>
      </c>
      <c r="K278" s="656"/>
      <c r="L278" s="656"/>
      <c r="M278" s="657"/>
      <c r="N278" s="656">
        <f t="shared" ref="N278:N309" si="242">M278*5.3%+M278</f>
        <v>0</v>
      </c>
      <c r="O278" s="687">
        <f t="shared" ref="O278:O309" si="243">N278*4.9%+N278</f>
        <v>0</v>
      </c>
      <c r="P278" s="688">
        <f t="shared" ref="P278:P309" si="244">O278*4.4%+O278</f>
        <v>0</v>
      </c>
      <c r="Q278" s="938">
        <f t="shared" ref="Q278:Q309" si="245">O278*3.7%+O278</f>
        <v>0</v>
      </c>
      <c r="R278" s="857">
        <f t="shared" ref="R278:R309" si="246">Q278*3.3%+Q278</f>
        <v>0</v>
      </c>
      <c r="S278" s="857">
        <f t="shared" ref="S278:S309" si="247">R278*3.2%+R278</f>
        <v>0</v>
      </c>
    </row>
    <row r="279" spans="1:19" s="149" customFormat="1" ht="12" customHeight="1" thickBot="1">
      <c r="A279" s="154"/>
      <c r="B279" s="618" t="s">
        <v>347</v>
      </c>
      <c r="C279" s="182">
        <v>2000</v>
      </c>
      <c r="D279" s="190"/>
      <c r="E279" s="189"/>
      <c r="F279" s="400">
        <v>207.29</v>
      </c>
      <c r="G279" s="654">
        <v>207.29</v>
      </c>
      <c r="H279" s="656">
        <f t="shared" ref="H279:I279" si="248">G279*5.3%+G279</f>
        <v>218.27636999999999</v>
      </c>
      <c r="I279" s="656">
        <f t="shared" si="248"/>
        <v>229.84501760999999</v>
      </c>
      <c r="J279" s="656">
        <f t="shared" si="213"/>
        <v>211.45741620119998</v>
      </c>
      <c r="K279" s="656">
        <f>I279*5.4%+I279</f>
        <v>242.25664856093999</v>
      </c>
      <c r="L279" s="656">
        <f t="shared" ref="L279:L283" si="249">K279*10%+K279</f>
        <v>266.48231341703399</v>
      </c>
      <c r="M279" s="657">
        <f>L279*5%+L279</f>
        <v>279.8064290878857</v>
      </c>
      <c r="N279" s="656">
        <f t="shared" si="242"/>
        <v>294.63616982954363</v>
      </c>
      <c r="O279" s="687">
        <f t="shared" si="243"/>
        <v>309.0733421511913</v>
      </c>
      <c r="P279" s="688">
        <f t="shared" si="244"/>
        <v>322.67256920584373</v>
      </c>
      <c r="Q279" s="938">
        <f t="shared" si="245"/>
        <v>320.50905581078536</v>
      </c>
      <c r="R279" s="857">
        <f t="shared" si="246"/>
        <v>331.08585465254129</v>
      </c>
      <c r="S279" s="857">
        <f t="shared" si="247"/>
        <v>341.68060200142259</v>
      </c>
    </row>
    <row r="280" spans="1:19" s="149" customFormat="1" ht="15" thickBot="1">
      <c r="A280" s="154"/>
      <c r="B280" s="618"/>
      <c r="C280" s="182">
        <v>4000</v>
      </c>
      <c r="D280" s="190"/>
      <c r="E280" s="189"/>
      <c r="F280" s="400">
        <v>306</v>
      </c>
      <c r="G280" s="654">
        <v>306</v>
      </c>
      <c r="H280" s="656">
        <f t="shared" ref="H280:I280" si="250">G280*5.3%+G280</f>
        <v>322.21800000000002</v>
      </c>
      <c r="I280" s="656">
        <f t="shared" si="250"/>
        <v>339.29555400000004</v>
      </c>
      <c r="J280" s="656">
        <f t="shared" si="213"/>
        <v>312.15190968000002</v>
      </c>
      <c r="K280" s="656">
        <f>I280*5.4%+I280</f>
        <v>357.61751391600006</v>
      </c>
      <c r="L280" s="656">
        <f t="shared" si="249"/>
        <v>393.37926530760006</v>
      </c>
      <c r="M280" s="657">
        <f>L280*5%+L280</f>
        <v>413.04822857298007</v>
      </c>
      <c r="N280" s="656">
        <f t="shared" si="242"/>
        <v>434.93978468734804</v>
      </c>
      <c r="O280" s="687">
        <f t="shared" si="243"/>
        <v>456.25183413702808</v>
      </c>
      <c r="P280" s="688">
        <f t="shared" si="244"/>
        <v>476.32691483905734</v>
      </c>
      <c r="Q280" s="938">
        <f t="shared" si="245"/>
        <v>473.13315200009811</v>
      </c>
      <c r="R280" s="857">
        <f t="shared" si="246"/>
        <v>488.74654601610132</v>
      </c>
      <c r="S280" s="857">
        <f t="shared" si="247"/>
        <v>504.38643548861654</v>
      </c>
    </row>
    <row r="281" spans="1:19" s="149" customFormat="1" ht="15" thickBot="1">
      <c r="A281" s="154"/>
      <c r="B281" s="618"/>
      <c r="C281" s="182">
        <v>6000</v>
      </c>
      <c r="D281" s="190"/>
      <c r="E281" s="189"/>
      <c r="F281" s="400">
        <v>380.03</v>
      </c>
      <c r="G281" s="654">
        <v>380.03</v>
      </c>
      <c r="H281" s="656">
        <f t="shared" ref="H281:I281" si="251">G281*5.3%+G281</f>
        <v>400.17158999999998</v>
      </c>
      <c r="I281" s="656">
        <f t="shared" si="251"/>
        <v>421.38068426999996</v>
      </c>
      <c r="J281" s="656">
        <f t="shared" si="213"/>
        <v>387.67022952839994</v>
      </c>
      <c r="K281" s="656">
        <f>I281*5.4%+I281</f>
        <v>444.13524122057999</v>
      </c>
      <c r="L281" s="656">
        <f t="shared" si="249"/>
        <v>488.54876534263798</v>
      </c>
      <c r="M281" s="657">
        <f>L281*5%+L281</f>
        <v>512.97620360976987</v>
      </c>
      <c r="N281" s="656">
        <f t="shared" si="242"/>
        <v>540.16394240108764</v>
      </c>
      <c r="O281" s="687">
        <f t="shared" si="243"/>
        <v>566.63197557874093</v>
      </c>
      <c r="P281" s="688">
        <f t="shared" si="244"/>
        <v>591.56378250420551</v>
      </c>
      <c r="Q281" s="938">
        <f t="shared" si="245"/>
        <v>587.5973586751544</v>
      </c>
      <c r="R281" s="857">
        <f t="shared" si="246"/>
        <v>606.98807151143444</v>
      </c>
      <c r="S281" s="857">
        <f t="shared" si="247"/>
        <v>626.41168979980034</v>
      </c>
    </row>
    <row r="282" spans="1:19" s="149" customFormat="1" ht="15" thickBot="1">
      <c r="A282" s="154"/>
      <c r="B282" s="618"/>
      <c r="C282" s="182">
        <v>8000</v>
      </c>
      <c r="D282" s="190"/>
      <c r="E282" s="189"/>
      <c r="F282" s="400">
        <v>454.06</v>
      </c>
      <c r="G282" s="654">
        <v>454.06</v>
      </c>
      <c r="H282" s="656">
        <f t="shared" ref="H282:I282" si="252">G282*5.3%+G282</f>
        <v>478.12518</v>
      </c>
      <c r="I282" s="656">
        <f t="shared" si="252"/>
        <v>503.46581454</v>
      </c>
      <c r="J282" s="656">
        <f t="shared" si="213"/>
        <v>463.18854937679998</v>
      </c>
      <c r="K282" s="656">
        <f>I282*5.4%+I282</f>
        <v>530.65296852515996</v>
      </c>
      <c r="L282" s="656">
        <f t="shared" si="249"/>
        <v>583.71826537767595</v>
      </c>
      <c r="M282" s="657">
        <f>L282*5%+L282</f>
        <v>612.90417864655979</v>
      </c>
      <c r="N282" s="656">
        <f t="shared" si="242"/>
        <v>645.38810011482747</v>
      </c>
      <c r="O282" s="687">
        <f t="shared" si="243"/>
        <v>677.01211702045407</v>
      </c>
      <c r="P282" s="688">
        <f t="shared" si="244"/>
        <v>706.80065016935407</v>
      </c>
      <c r="Q282" s="938">
        <f t="shared" si="245"/>
        <v>702.06156535021091</v>
      </c>
      <c r="R282" s="857">
        <f t="shared" si="246"/>
        <v>725.2295970067679</v>
      </c>
      <c r="S282" s="857">
        <f t="shared" si="247"/>
        <v>748.43694411098443</v>
      </c>
    </row>
    <row r="283" spans="1:19" s="149" customFormat="1" ht="15" thickBot="1">
      <c r="A283" s="154"/>
      <c r="B283" s="618"/>
      <c r="C283" s="182">
        <v>10000</v>
      </c>
      <c r="D283" s="190"/>
      <c r="E283" s="189"/>
      <c r="F283" s="400">
        <v>528.09</v>
      </c>
      <c r="G283" s="654">
        <v>528.09</v>
      </c>
      <c r="H283" s="656">
        <f t="shared" ref="H283:I283" si="253">G283*5.3%+G283</f>
        <v>556.07877000000008</v>
      </c>
      <c r="I283" s="656">
        <f t="shared" si="253"/>
        <v>585.55094481000003</v>
      </c>
      <c r="J283" s="656">
        <f t="shared" si="213"/>
        <v>538.70686922520008</v>
      </c>
      <c r="K283" s="656">
        <f>I283*5.4%+I283</f>
        <v>617.17069582974</v>
      </c>
      <c r="L283" s="656">
        <f t="shared" si="249"/>
        <v>678.88776541271397</v>
      </c>
      <c r="M283" s="657">
        <f>L283*5%+L283</f>
        <v>712.8321536833497</v>
      </c>
      <c r="N283" s="656">
        <f t="shared" si="242"/>
        <v>750.61225782856718</v>
      </c>
      <c r="O283" s="687">
        <f t="shared" si="243"/>
        <v>787.39225846216698</v>
      </c>
      <c r="P283" s="688">
        <f t="shared" si="244"/>
        <v>822.0375178345023</v>
      </c>
      <c r="Q283" s="938">
        <f t="shared" si="245"/>
        <v>816.5257720252672</v>
      </c>
      <c r="R283" s="857">
        <f t="shared" si="246"/>
        <v>843.47112250210103</v>
      </c>
      <c r="S283" s="857">
        <f t="shared" si="247"/>
        <v>870.46219842216829</v>
      </c>
    </row>
    <row r="284" spans="1:19" s="149" customFormat="1" ht="15" thickBot="1">
      <c r="A284" s="154"/>
      <c r="B284" s="618"/>
      <c r="C284" s="182"/>
      <c r="D284" s="190"/>
      <c r="E284" s="189"/>
      <c r="F284" s="400"/>
      <c r="G284" s="654"/>
      <c r="H284" s="656"/>
      <c r="I284" s="656"/>
      <c r="J284" s="656">
        <f t="shared" si="213"/>
        <v>0</v>
      </c>
      <c r="K284" s="656"/>
      <c r="L284" s="656"/>
      <c r="M284" s="657"/>
      <c r="N284" s="656">
        <f t="shared" si="242"/>
        <v>0</v>
      </c>
      <c r="O284" s="687">
        <f t="shared" si="243"/>
        <v>0</v>
      </c>
      <c r="P284" s="688">
        <f t="shared" si="244"/>
        <v>0</v>
      </c>
      <c r="Q284" s="938">
        <f t="shared" si="245"/>
        <v>0</v>
      </c>
      <c r="R284" s="857">
        <f t="shared" si="246"/>
        <v>0</v>
      </c>
      <c r="S284" s="857">
        <f t="shared" si="247"/>
        <v>0</v>
      </c>
    </row>
    <row r="285" spans="1:19" s="149" customFormat="1" ht="16" thickBot="1">
      <c r="A285" s="154"/>
      <c r="B285" s="618" t="s">
        <v>348</v>
      </c>
      <c r="C285" s="182">
        <v>12000</v>
      </c>
      <c r="D285" s="190"/>
      <c r="E285" s="189"/>
      <c r="F285" s="400">
        <v>602.11</v>
      </c>
      <c r="G285" s="654">
        <v>602.11</v>
      </c>
      <c r="H285" s="656">
        <f t="shared" ref="H285:I285" si="254">G285*5.3%+G285</f>
        <v>634.02183000000002</v>
      </c>
      <c r="I285" s="656">
        <f t="shared" si="254"/>
        <v>667.62498699000002</v>
      </c>
      <c r="J285" s="656">
        <f t="shared" si="213"/>
        <v>614.21498803079999</v>
      </c>
      <c r="K285" s="656">
        <f>I285*5.4%+I285</f>
        <v>703.67673628746002</v>
      </c>
      <c r="L285" s="656">
        <f t="shared" ref="L285:L289" si="255">K285*10%+K285</f>
        <v>774.04440991620606</v>
      </c>
      <c r="M285" s="657">
        <f>L285*5%+L285</f>
        <v>812.74663041201643</v>
      </c>
      <c r="N285" s="656">
        <f t="shared" si="242"/>
        <v>855.82220182385333</v>
      </c>
      <c r="O285" s="687">
        <f t="shared" si="243"/>
        <v>897.75748971322218</v>
      </c>
      <c r="P285" s="688">
        <f t="shared" si="244"/>
        <v>937.25881926060401</v>
      </c>
      <c r="Q285" s="938">
        <f t="shared" si="245"/>
        <v>930.97451683261136</v>
      </c>
      <c r="R285" s="857">
        <f t="shared" si="246"/>
        <v>961.6966758880875</v>
      </c>
      <c r="S285" s="857">
        <f t="shared" si="247"/>
        <v>992.47096951650633</v>
      </c>
    </row>
    <row r="286" spans="1:19" s="149" customFormat="1" ht="15" thickBot="1">
      <c r="A286" s="154"/>
      <c r="B286" s="618"/>
      <c r="C286" s="182">
        <v>14000</v>
      </c>
      <c r="D286" s="190"/>
      <c r="E286" s="189"/>
      <c r="F286" s="400">
        <v>676.14</v>
      </c>
      <c r="G286" s="654">
        <v>676.14</v>
      </c>
      <c r="H286" s="656">
        <f t="shared" ref="H286:I286" si="256">G286*5.3%+G286</f>
        <v>711.97541999999999</v>
      </c>
      <c r="I286" s="656">
        <f t="shared" si="256"/>
        <v>749.71011725999995</v>
      </c>
      <c r="J286" s="656">
        <f t="shared" si="213"/>
        <v>689.73330787919997</v>
      </c>
      <c r="K286" s="656">
        <f>I286*5.4%+I286</f>
        <v>790.19446359203994</v>
      </c>
      <c r="L286" s="656">
        <f t="shared" si="255"/>
        <v>869.21390995124398</v>
      </c>
      <c r="M286" s="657">
        <f>L286*5%+L286</f>
        <v>912.67460544880623</v>
      </c>
      <c r="N286" s="656">
        <f t="shared" si="242"/>
        <v>961.04635953759293</v>
      </c>
      <c r="O286" s="687">
        <f t="shared" si="243"/>
        <v>1008.137631154935</v>
      </c>
      <c r="P286" s="688">
        <f t="shared" si="244"/>
        <v>1052.4956869257521</v>
      </c>
      <c r="Q286" s="938">
        <f t="shared" si="245"/>
        <v>1045.4387235076676</v>
      </c>
      <c r="R286" s="857">
        <f t="shared" si="246"/>
        <v>1079.9382013834206</v>
      </c>
      <c r="S286" s="857">
        <f t="shared" si="247"/>
        <v>1114.4962238276901</v>
      </c>
    </row>
    <row r="287" spans="1:19" s="149" customFormat="1" ht="15" thickBot="1">
      <c r="A287" s="154"/>
      <c r="B287" s="618"/>
      <c r="C287" s="182">
        <v>16000</v>
      </c>
      <c r="D287" s="190"/>
      <c r="E287" s="189"/>
      <c r="F287" s="400">
        <v>750.17</v>
      </c>
      <c r="G287" s="654">
        <v>750.17</v>
      </c>
      <c r="H287" s="656">
        <f t="shared" ref="H287:I287" si="257">G287*5.3%+G287</f>
        <v>789.92900999999995</v>
      </c>
      <c r="I287" s="656">
        <f t="shared" si="257"/>
        <v>831.79524752999998</v>
      </c>
      <c r="J287" s="656">
        <f t="shared" si="213"/>
        <v>765.25162772759995</v>
      </c>
      <c r="K287" s="656">
        <f>I287*5.4%+I287</f>
        <v>876.71219089661997</v>
      </c>
      <c r="L287" s="656">
        <f t="shared" si="255"/>
        <v>964.383409986282</v>
      </c>
      <c r="M287" s="657">
        <f>L287*5%+L287</f>
        <v>1012.6025804855961</v>
      </c>
      <c r="N287" s="656">
        <f t="shared" si="242"/>
        <v>1066.2705172513326</v>
      </c>
      <c r="O287" s="687">
        <f t="shared" si="243"/>
        <v>1118.517772596648</v>
      </c>
      <c r="P287" s="688">
        <f t="shared" si="244"/>
        <v>1167.7325545909005</v>
      </c>
      <c r="Q287" s="938">
        <f t="shared" si="245"/>
        <v>1159.902930182724</v>
      </c>
      <c r="R287" s="857">
        <f t="shared" si="246"/>
        <v>1198.1797268787539</v>
      </c>
      <c r="S287" s="857">
        <f t="shared" si="247"/>
        <v>1236.521478138874</v>
      </c>
    </row>
    <row r="288" spans="1:19" s="149" customFormat="1" ht="15" thickBot="1">
      <c r="A288" s="154"/>
      <c r="B288" s="618"/>
      <c r="C288" s="182">
        <v>18000</v>
      </c>
      <c r="D288" s="190"/>
      <c r="E288" s="189"/>
      <c r="F288" s="400">
        <v>824.17</v>
      </c>
      <c r="G288" s="654">
        <v>824.17</v>
      </c>
      <c r="H288" s="656">
        <f t="shared" ref="H288:I288" si="258">G288*5.3%+G288</f>
        <v>867.85100999999997</v>
      </c>
      <c r="I288" s="656">
        <f t="shared" si="258"/>
        <v>913.84711353</v>
      </c>
      <c r="J288" s="656">
        <f t="shared" si="213"/>
        <v>840.73934444760005</v>
      </c>
      <c r="K288" s="656">
        <f>I288*5.4%+I288</f>
        <v>963.19485766061996</v>
      </c>
      <c r="L288" s="656">
        <f t="shared" si="255"/>
        <v>1059.514343426682</v>
      </c>
      <c r="M288" s="657">
        <f>L288*5%+L288</f>
        <v>1112.490060598016</v>
      </c>
      <c r="N288" s="656">
        <f t="shared" si="242"/>
        <v>1171.4520338097109</v>
      </c>
      <c r="O288" s="687">
        <f t="shared" si="243"/>
        <v>1228.8531834663868</v>
      </c>
      <c r="P288" s="688">
        <f t="shared" si="244"/>
        <v>1282.9227235389078</v>
      </c>
      <c r="Q288" s="938">
        <f t="shared" si="245"/>
        <v>1274.320751254643</v>
      </c>
      <c r="R288" s="857">
        <f t="shared" si="246"/>
        <v>1316.3733360460462</v>
      </c>
      <c r="S288" s="857">
        <f t="shared" si="247"/>
        <v>1358.4972827995198</v>
      </c>
    </row>
    <row r="289" spans="1:19" s="149" customFormat="1" ht="15" thickBot="1">
      <c r="A289" s="154"/>
      <c r="B289" s="618"/>
      <c r="C289" s="182">
        <v>20000</v>
      </c>
      <c r="D289" s="190"/>
      <c r="E289" s="189"/>
      <c r="F289" s="400">
        <v>898.23</v>
      </c>
      <c r="G289" s="654">
        <v>898.23</v>
      </c>
      <c r="H289" s="656">
        <f t="shared" ref="H289:I289" si="259">G289*5.3%+G289</f>
        <v>945.83618999999999</v>
      </c>
      <c r="I289" s="656">
        <f t="shared" si="259"/>
        <v>995.96550806999994</v>
      </c>
      <c r="J289" s="656">
        <f t="shared" si="213"/>
        <v>916.28826742439992</v>
      </c>
      <c r="K289" s="656">
        <f>I289*5.4%+I289</f>
        <v>1049.7476455057799</v>
      </c>
      <c r="L289" s="656">
        <f t="shared" si="255"/>
        <v>1154.7224100563578</v>
      </c>
      <c r="M289" s="657">
        <f>L289*5%+L289</f>
        <v>1212.4585305591756</v>
      </c>
      <c r="N289" s="656">
        <f t="shared" si="242"/>
        <v>1276.7188326788119</v>
      </c>
      <c r="O289" s="687">
        <f t="shared" si="243"/>
        <v>1339.2780554800736</v>
      </c>
      <c r="P289" s="688">
        <f t="shared" si="244"/>
        <v>1398.2062899211969</v>
      </c>
      <c r="Q289" s="938">
        <f t="shared" si="245"/>
        <v>1388.8313435328364</v>
      </c>
      <c r="R289" s="857">
        <f t="shared" si="246"/>
        <v>1434.6627778694201</v>
      </c>
      <c r="S289" s="857">
        <f t="shared" si="247"/>
        <v>1480.5719867612415</v>
      </c>
    </row>
    <row r="290" spans="1:19" s="149" customFormat="1" ht="15" thickBot="1">
      <c r="A290" s="154"/>
      <c r="B290" s="618"/>
      <c r="C290" s="182"/>
      <c r="D290" s="190"/>
      <c r="E290" s="189"/>
      <c r="F290" s="400"/>
      <c r="G290" s="654"/>
      <c r="H290" s="656"/>
      <c r="I290" s="656"/>
      <c r="J290" s="656">
        <f t="shared" si="213"/>
        <v>0</v>
      </c>
      <c r="K290" s="656"/>
      <c r="L290" s="656"/>
      <c r="M290" s="657"/>
      <c r="N290" s="656">
        <f t="shared" si="242"/>
        <v>0</v>
      </c>
      <c r="O290" s="687">
        <f t="shared" si="243"/>
        <v>0</v>
      </c>
      <c r="P290" s="688">
        <f t="shared" si="244"/>
        <v>0</v>
      </c>
      <c r="Q290" s="938">
        <f t="shared" si="245"/>
        <v>0</v>
      </c>
      <c r="R290" s="857">
        <f t="shared" si="246"/>
        <v>0</v>
      </c>
      <c r="S290" s="857">
        <f t="shared" si="247"/>
        <v>0</v>
      </c>
    </row>
    <row r="291" spans="1:19" s="149" customFormat="1" ht="16" thickBot="1">
      <c r="A291" s="154"/>
      <c r="B291" s="618" t="s">
        <v>349</v>
      </c>
      <c r="C291" s="182">
        <v>22000</v>
      </c>
      <c r="D291" s="190"/>
      <c r="E291" s="189"/>
      <c r="F291" s="400">
        <v>927.26</v>
      </c>
      <c r="G291" s="654">
        <v>927.26</v>
      </c>
      <c r="H291" s="656">
        <f t="shared" ref="H291:I291" si="260">G291*5.3%+G291</f>
        <v>976.40477999999996</v>
      </c>
      <c r="I291" s="656">
        <f t="shared" si="260"/>
        <v>1028.15423334</v>
      </c>
      <c r="J291" s="656">
        <f t="shared" si="213"/>
        <v>945.90189467280004</v>
      </c>
      <c r="K291" s="656">
        <f>I291*5.4%+I291</f>
        <v>1083.67456194036</v>
      </c>
      <c r="L291" s="656">
        <f t="shared" ref="L291:L295" si="261">K291*10%+K291</f>
        <v>1192.0420181343961</v>
      </c>
      <c r="M291" s="657">
        <f>L291*5%+L291</f>
        <v>1251.644119041116</v>
      </c>
      <c r="N291" s="656">
        <f t="shared" si="242"/>
        <v>1317.9812573502952</v>
      </c>
      <c r="O291" s="687">
        <f t="shared" si="243"/>
        <v>1382.5623389604598</v>
      </c>
      <c r="P291" s="688">
        <f t="shared" si="244"/>
        <v>1443.3950818747201</v>
      </c>
      <c r="Q291" s="938">
        <f t="shared" si="245"/>
        <v>1433.7171455019968</v>
      </c>
      <c r="R291" s="857">
        <f t="shared" si="246"/>
        <v>1481.0298113035626</v>
      </c>
      <c r="S291" s="857">
        <f t="shared" si="247"/>
        <v>1528.4227652652767</v>
      </c>
    </row>
    <row r="292" spans="1:19" s="149" customFormat="1" ht="15" thickBot="1">
      <c r="A292" s="154"/>
      <c r="B292" s="618"/>
      <c r="C292" s="182">
        <v>24000</v>
      </c>
      <c r="D292" s="190"/>
      <c r="E292" s="189"/>
      <c r="F292" s="400">
        <v>1046.28</v>
      </c>
      <c r="G292" s="654">
        <v>1046.28</v>
      </c>
      <c r="H292" s="656">
        <f t="shared" ref="H292:I292" si="262">G292*5.3%+G292</f>
        <v>1101.7328399999999</v>
      </c>
      <c r="I292" s="656">
        <f t="shared" si="262"/>
        <v>1160.1246805199999</v>
      </c>
      <c r="J292" s="656">
        <f t="shared" si="213"/>
        <v>1067.3147060783999</v>
      </c>
      <c r="K292" s="656">
        <f>I292*5.4%+I292</f>
        <v>1222.7714132680799</v>
      </c>
      <c r="L292" s="656">
        <f t="shared" si="261"/>
        <v>1345.0485545948879</v>
      </c>
      <c r="M292" s="657">
        <f>L292*5%+L292</f>
        <v>1412.3009823246323</v>
      </c>
      <c r="N292" s="656">
        <f t="shared" si="242"/>
        <v>1487.1529343878378</v>
      </c>
      <c r="O292" s="687">
        <f t="shared" si="243"/>
        <v>1560.0234281728419</v>
      </c>
      <c r="P292" s="688">
        <f t="shared" si="244"/>
        <v>1628.664459012447</v>
      </c>
      <c r="Q292" s="938">
        <f t="shared" si="245"/>
        <v>1617.7442950152372</v>
      </c>
      <c r="R292" s="857">
        <f t="shared" si="246"/>
        <v>1671.1298567507399</v>
      </c>
      <c r="S292" s="857">
        <f t="shared" si="247"/>
        <v>1724.6060121667635</v>
      </c>
    </row>
    <row r="293" spans="1:19" s="149" customFormat="1" ht="15" thickBot="1">
      <c r="A293" s="154"/>
      <c r="B293" s="618"/>
      <c r="C293" s="182">
        <v>26000</v>
      </c>
      <c r="D293" s="190"/>
      <c r="E293" s="189"/>
      <c r="F293" s="400">
        <v>1120.31</v>
      </c>
      <c r="G293" s="654">
        <v>1120.31</v>
      </c>
      <c r="H293" s="656">
        <f t="shared" ref="H293:I293" si="263">G293*5.3%+G293</f>
        <v>1179.68643</v>
      </c>
      <c r="I293" s="656">
        <f t="shared" si="263"/>
        <v>1242.2098107899999</v>
      </c>
      <c r="J293" s="656">
        <f t="shared" si="213"/>
        <v>1142.8330259268</v>
      </c>
      <c r="K293" s="656">
        <f>I293*5.4%+I293</f>
        <v>1309.2891405726598</v>
      </c>
      <c r="L293" s="656">
        <f t="shared" si="261"/>
        <v>1440.2180546299257</v>
      </c>
      <c r="M293" s="657">
        <f>L293*5%+L293</f>
        <v>1512.2289573614221</v>
      </c>
      <c r="N293" s="656">
        <f t="shared" si="242"/>
        <v>1592.3770921015775</v>
      </c>
      <c r="O293" s="687">
        <f t="shared" si="243"/>
        <v>1670.403569614555</v>
      </c>
      <c r="P293" s="688">
        <f t="shared" si="244"/>
        <v>1743.9013266775953</v>
      </c>
      <c r="Q293" s="938">
        <f t="shared" si="245"/>
        <v>1732.2085016902936</v>
      </c>
      <c r="R293" s="857">
        <f t="shared" si="246"/>
        <v>1789.3713822460734</v>
      </c>
      <c r="S293" s="857">
        <f t="shared" si="247"/>
        <v>1846.6312664779477</v>
      </c>
    </row>
    <row r="294" spans="1:19" s="149" customFormat="1" ht="15" thickBot="1">
      <c r="A294" s="154"/>
      <c r="B294" s="618"/>
      <c r="C294" s="182">
        <v>28000</v>
      </c>
      <c r="D294" s="190"/>
      <c r="E294" s="189"/>
      <c r="F294" s="400">
        <v>1194.3399999999999</v>
      </c>
      <c r="G294" s="654">
        <v>1194.3399999999999</v>
      </c>
      <c r="H294" s="656">
        <f t="shared" ref="H294:I294" si="264">G294*5.3%+G294</f>
        <v>1257.6400199999998</v>
      </c>
      <c r="I294" s="656">
        <f t="shared" si="264"/>
        <v>1324.2949410599999</v>
      </c>
      <c r="J294" s="656">
        <f t="shared" si="213"/>
        <v>1218.3513457751999</v>
      </c>
      <c r="K294" s="656">
        <f>I294*5.4%+I294</f>
        <v>1395.8068678772399</v>
      </c>
      <c r="L294" s="656">
        <f t="shared" si="261"/>
        <v>1535.387554664964</v>
      </c>
      <c r="M294" s="657">
        <f>L294*5%+L294</f>
        <v>1612.1569323982121</v>
      </c>
      <c r="N294" s="656">
        <f t="shared" si="242"/>
        <v>1697.6012498153173</v>
      </c>
      <c r="O294" s="687">
        <f t="shared" si="243"/>
        <v>1780.7837110562677</v>
      </c>
      <c r="P294" s="688">
        <f t="shared" si="244"/>
        <v>1859.1381943427436</v>
      </c>
      <c r="Q294" s="938">
        <f t="shared" si="245"/>
        <v>1846.6727083653498</v>
      </c>
      <c r="R294" s="857">
        <f t="shared" si="246"/>
        <v>1907.6129077414064</v>
      </c>
      <c r="S294" s="857">
        <f t="shared" si="247"/>
        <v>1968.6565207891315</v>
      </c>
    </row>
    <row r="295" spans="1:19" s="149" customFormat="1" ht="15" thickBot="1">
      <c r="A295" s="154"/>
      <c r="B295" s="618"/>
      <c r="C295" s="182">
        <v>30000</v>
      </c>
      <c r="D295" s="190"/>
      <c r="E295" s="189"/>
      <c r="F295" s="400">
        <v>1268.3699999999999</v>
      </c>
      <c r="G295" s="654">
        <v>1268.3699999999999</v>
      </c>
      <c r="H295" s="656">
        <f t="shared" ref="H295:I295" si="265">G295*5.3%+G295</f>
        <v>1335.5936099999999</v>
      </c>
      <c r="I295" s="656">
        <f t="shared" si="265"/>
        <v>1406.38007133</v>
      </c>
      <c r="J295" s="656">
        <f t="shared" si="213"/>
        <v>1293.8696656236</v>
      </c>
      <c r="K295" s="656">
        <f>I295*5.4%+I295</f>
        <v>1482.3245951818199</v>
      </c>
      <c r="L295" s="656">
        <f t="shared" si="261"/>
        <v>1630.5570547000018</v>
      </c>
      <c r="M295" s="657">
        <f>L295*5%+L295</f>
        <v>1712.0849074350019</v>
      </c>
      <c r="N295" s="656">
        <f t="shared" si="242"/>
        <v>1802.825407529057</v>
      </c>
      <c r="O295" s="687">
        <f t="shared" si="243"/>
        <v>1891.1638524979808</v>
      </c>
      <c r="P295" s="688">
        <f t="shared" si="244"/>
        <v>1974.375062007892</v>
      </c>
      <c r="Q295" s="938">
        <f t="shared" si="245"/>
        <v>1961.1369150404062</v>
      </c>
      <c r="R295" s="857">
        <f t="shared" si="246"/>
        <v>2025.8544332367396</v>
      </c>
      <c r="S295" s="857">
        <f t="shared" si="247"/>
        <v>2090.6817751003155</v>
      </c>
    </row>
    <row r="296" spans="1:19" s="149" customFormat="1" ht="15" thickBot="1">
      <c r="A296" s="154"/>
      <c r="B296" s="618"/>
      <c r="C296" s="182"/>
      <c r="D296" s="190"/>
      <c r="E296" s="189"/>
      <c r="F296" s="400"/>
      <c r="G296" s="654"/>
      <c r="H296" s="656"/>
      <c r="I296" s="656"/>
      <c r="J296" s="656">
        <f t="shared" si="213"/>
        <v>0</v>
      </c>
      <c r="K296" s="656"/>
      <c r="L296" s="656"/>
      <c r="M296" s="657"/>
      <c r="N296" s="656">
        <f t="shared" si="242"/>
        <v>0</v>
      </c>
      <c r="O296" s="687">
        <f t="shared" si="243"/>
        <v>0</v>
      </c>
      <c r="P296" s="688">
        <f t="shared" si="244"/>
        <v>0</v>
      </c>
      <c r="Q296" s="938">
        <f t="shared" si="245"/>
        <v>0</v>
      </c>
      <c r="R296" s="857">
        <f t="shared" si="246"/>
        <v>0</v>
      </c>
      <c r="S296" s="857">
        <f t="shared" si="247"/>
        <v>0</v>
      </c>
    </row>
    <row r="297" spans="1:19" s="149" customFormat="1" ht="16" thickBot="1">
      <c r="A297" s="154"/>
      <c r="B297" s="618" t="s">
        <v>350</v>
      </c>
      <c r="C297" s="182">
        <v>32000</v>
      </c>
      <c r="D297" s="190"/>
      <c r="E297" s="189"/>
      <c r="F297" s="400">
        <v>1342.4</v>
      </c>
      <c r="G297" s="654">
        <v>1342.4</v>
      </c>
      <c r="H297" s="656">
        <f t="shared" ref="H297:I297" si="266">G297*5.3%+G297</f>
        <v>1413.5472</v>
      </c>
      <c r="I297" s="656">
        <f t="shared" si="266"/>
        <v>1488.4652016</v>
      </c>
      <c r="J297" s="656">
        <f t="shared" si="213"/>
        <v>1369.3879854720001</v>
      </c>
      <c r="K297" s="656">
        <f>I297*5.4%+I297</f>
        <v>1568.8423224864</v>
      </c>
      <c r="L297" s="656">
        <f t="shared" ref="L297:L301" si="267">K297*10%+K297</f>
        <v>1725.7265547350401</v>
      </c>
      <c r="M297" s="657">
        <f>L297*5%+L297</f>
        <v>1812.0128824717922</v>
      </c>
      <c r="N297" s="656">
        <f t="shared" si="242"/>
        <v>1908.0495652427971</v>
      </c>
      <c r="O297" s="687">
        <f t="shared" si="243"/>
        <v>2001.5439939396942</v>
      </c>
      <c r="P297" s="688">
        <f t="shared" si="244"/>
        <v>2089.6119296730408</v>
      </c>
      <c r="Q297" s="938">
        <f t="shared" si="245"/>
        <v>2075.6011217154628</v>
      </c>
      <c r="R297" s="857">
        <f t="shared" si="246"/>
        <v>2144.0959587320731</v>
      </c>
      <c r="S297" s="857">
        <f t="shared" si="247"/>
        <v>2212.7070294114992</v>
      </c>
    </row>
    <row r="298" spans="1:19" s="149" customFormat="1" ht="15" thickBot="1">
      <c r="A298" s="154"/>
      <c r="B298" s="618"/>
      <c r="C298" s="182">
        <v>34000</v>
      </c>
      <c r="D298" s="190"/>
      <c r="E298" s="189"/>
      <c r="F298" s="400">
        <v>1416.43</v>
      </c>
      <c r="G298" s="654">
        <v>1416.43</v>
      </c>
      <c r="H298" s="656">
        <f t="shared" ref="H298:I298" si="268">G298*5.3%+G298</f>
        <v>1491.5007900000001</v>
      </c>
      <c r="I298" s="656">
        <f t="shared" si="268"/>
        <v>1570.55033187</v>
      </c>
      <c r="J298" s="656">
        <f t="shared" si="213"/>
        <v>1444.9063053204</v>
      </c>
      <c r="K298" s="656">
        <f>I298*5.4%+I298</f>
        <v>1655.3600497909802</v>
      </c>
      <c r="L298" s="656">
        <f t="shared" si="267"/>
        <v>1820.8960547700781</v>
      </c>
      <c r="M298" s="657">
        <f>L298*5%+L298</f>
        <v>1911.940857508582</v>
      </c>
      <c r="N298" s="656">
        <f t="shared" si="242"/>
        <v>2013.2737229565369</v>
      </c>
      <c r="O298" s="687">
        <f t="shared" si="243"/>
        <v>2111.9241353814073</v>
      </c>
      <c r="P298" s="688">
        <f t="shared" si="244"/>
        <v>2204.8487973381893</v>
      </c>
      <c r="Q298" s="938">
        <f t="shared" si="245"/>
        <v>2190.0653283905194</v>
      </c>
      <c r="R298" s="857">
        <f t="shared" si="246"/>
        <v>2262.3374842274065</v>
      </c>
      <c r="S298" s="857">
        <f t="shared" si="247"/>
        <v>2334.7322837226834</v>
      </c>
    </row>
    <row r="299" spans="1:19" s="149" customFormat="1" ht="15" thickBot="1">
      <c r="A299" s="154"/>
      <c r="B299" s="618"/>
      <c r="C299" s="182">
        <v>26000</v>
      </c>
      <c r="D299" s="190"/>
      <c r="E299" s="189"/>
      <c r="F299" s="400">
        <v>1490.45</v>
      </c>
      <c r="G299" s="654">
        <v>1490.45</v>
      </c>
      <c r="H299" s="656">
        <f t="shared" ref="H299:I299" si="269">G299*5.3%+G299</f>
        <v>1569.4438500000001</v>
      </c>
      <c r="I299" s="656">
        <f t="shared" si="269"/>
        <v>1652.6243740500001</v>
      </c>
      <c r="J299" s="656">
        <f t="shared" si="213"/>
        <v>1520.4144241260001</v>
      </c>
      <c r="K299" s="656">
        <f>I299*5.4%+I299</f>
        <v>1741.8660902487002</v>
      </c>
      <c r="L299" s="656">
        <f t="shared" si="267"/>
        <v>1916.0526992735702</v>
      </c>
      <c r="M299" s="657">
        <f>L299*5%+L299</f>
        <v>2011.8553342372486</v>
      </c>
      <c r="N299" s="656">
        <f t="shared" si="242"/>
        <v>2118.4836669518227</v>
      </c>
      <c r="O299" s="687">
        <f t="shared" si="243"/>
        <v>2222.2893666324621</v>
      </c>
      <c r="P299" s="688">
        <f t="shared" si="244"/>
        <v>2320.0700987642904</v>
      </c>
      <c r="Q299" s="938">
        <f t="shared" si="245"/>
        <v>2304.5140731978631</v>
      </c>
      <c r="R299" s="857">
        <f t="shared" si="246"/>
        <v>2380.5630376133927</v>
      </c>
      <c r="S299" s="857">
        <f t="shared" si="247"/>
        <v>2456.7410548170214</v>
      </c>
    </row>
    <row r="300" spans="1:19" s="149" customFormat="1" ht="15" thickBot="1">
      <c r="A300" s="154"/>
      <c r="B300" s="618"/>
      <c r="C300" s="182">
        <v>38000</v>
      </c>
      <c r="D300" s="190"/>
      <c r="E300" s="189"/>
      <c r="F300" s="400">
        <v>1564.48</v>
      </c>
      <c r="G300" s="654">
        <v>1564.48</v>
      </c>
      <c r="H300" s="656">
        <f t="shared" ref="H300:I300" si="270">G300*5.3%+G300</f>
        <v>1647.39744</v>
      </c>
      <c r="I300" s="656">
        <f t="shared" si="270"/>
        <v>1734.70950432</v>
      </c>
      <c r="J300" s="656">
        <f t="shared" si="213"/>
        <v>1595.9327439744</v>
      </c>
      <c r="K300" s="656">
        <f>I300*5.4%+I300</f>
        <v>1828.3838175532799</v>
      </c>
      <c r="L300" s="656">
        <f t="shared" si="267"/>
        <v>2011.2221993086077</v>
      </c>
      <c r="M300" s="657">
        <f>L300*5%+L300</f>
        <v>2111.7833092740379</v>
      </c>
      <c r="N300" s="656">
        <f t="shared" si="242"/>
        <v>2223.7078246655619</v>
      </c>
      <c r="O300" s="687">
        <f t="shared" si="243"/>
        <v>2332.6695080741747</v>
      </c>
      <c r="P300" s="688">
        <f t="shared" si="244"/>
        <v>2435.3069664294385</v>
      </c>
      <c r="Q300" s="938">
        <f t="shared" si="245"/>
        <v>2418.9782798729193</v>
      </c>
      <c r="R300" s="857">
        <f t="shared" si="246"/>
        <v>2498.8045631087257</v>
      </c>
      <c r="S300" s="857">
        <f t="shared" si="247"/>
        <v>2578.7663091282047</v>
      </c>
    </row>
    <row r="301" spans="1:19" s="149" customFormat="1" ht="15" thickBot="1">
      <c r="A301" s="154"/>
      <c r="B301" s="618"/>
      <c r="C301" s="182">
        <v>40000</v>
      </c>
      <c r="D301" s="190"/>
      <c r="E301" s="189"/>
      <c r="F301" s="400">
        <v>1638.51</v>
      </c>
      <c r="G301" s="654">
        <v>1638.51</v>
      </c>
      <c r="H301" s="656">
        <f t="shared" ref="H301:I301" si="271">G301*5.3%+G301</f>
        <v>1725.35103</v>
      </c>
      <c r="I301" s="656">
        <f t="shared" si="271"/>
        <v>1816.79463459</v>
      </c>
      <c r="J301" s="656">
        <f t="shared" si="213"/>
        <v>1671.4510638228001</v>
      </c>
      <c r="K301" s="656">
        <f>I301*5.4%+I301</f>
        <v>1914.90154485786</v>
      </c>
      <c r="L301" s="656">
        <f t="shared" si="267"/>
        <v>2106.391699343646</v>
      </c>
      <c r="M301" s="657">
        <f>L301*5%+L301</f>
        <v>2211.7112843108284</v>
      </c>
      <c r="N301" s="656">
        <f t="shared" si="242"/>
        <v>2328.9319823793026</v>
      </c>
      <c r="O301" s="687">
        <f t="shared" si="243"/>
        <v>2443.0496495158882</v>
      </c>
      <c r="P301" s="688">
        <f t="shared" si="244"/>
        <v>2550.5438340945871</v>
      </c>
      <c r="Q301" s="938">
        <f t="shared" si="245"/>
        <v>2533.4424865479759</v>
      </c>
      <c r="R301" s="857">
        <f t="shared" si="246"/>
        <v>2617.0460886040592</v>
      </c>
      <c r="S301" s="857">
        <f t="shared" si="247"/>
        <v>2700.7915634393889</v>
      </c>
    </row>
    <row r="302" spans="1:19" s="149" customFormat="1" ht="15" thickBot="1">
      <c r="A302" s="154"/>
      <c r="B302" s="618"/>
      <c r="C302" s="182"/>
      <c r="D302" s="190"/>
      <c r="E302" s="189"/>
      <c r="F302" s="400"/>
      <c r="G302" s="654"/>
      <c r="H302" s="656"/>
      <c r="I302" s="656"/>
      <c r="J302" s="656">
        <f t="shared" si="213"/>
        <v>0</v>
      </c>
      <c r="K302" s="656"/>
      <c r="L302" s="656"/>
      <c r="M302" s="657"/>
      <c r="N302" s="656">
        <f t="shared" si="242"/>
        <v>0</v>
      </c>
      <c r="O302" s="687">
        <f t="shared" si="243"/>
        <v>0</v>
      </c>
      <c r="P302" s="688">
        <f t="shared" si="244"/>
        <v>0</v>
      </c>
      <c r="Q302" s="938">
        <f t="shared" si="245"/>
        <v>0</v>
      </c>
      <c r="R302" s="857">
        <f t="shared" si="246"/>
        <v>0</v>
      </c>
      <c r="S302" s="857">
        <f t="shared" si="247"/>
        <v>0</v>
      </c>
    </row>
    <row r="303" spans="1:19" s="149" customFormat="1" ht="16" thickBot="1">
      <c r="A303" s="154"/>
      <c r="B303" s="618" t="s">
        <v>351</v>
      </c>
      <c r="C303" s="182">
        <v>42000</v>
      </c>
      <c r="D303" s="190"/>
      <c r="E303" s="189"/>
      <c r="F303" s="400">
        <v>1712.54</v>
      </c>
      <c r="G303" s="654">
        <v>1712.54</v>
      </c>
      <c r="H303" s="656">
        <f t="shared" ref="H303:I303" si="272">G303*5.3%+G303</f>
        <v>1803.3046199999999</v>
      </c>
      <c r="I303" s="656">
        <f t="shared" si="272"/>
        <v>1898.8797648599998</v>
      </c>
      <c r="J303" s="656">
        <f t="shared" si="213"/>
        <v>1746.9693836711999</v>
      </c>
      <c r="K303" s="656">
        <f>I303*5.4%+I303</f>
        <v>2001.4192721624397</v>
      </c>
      <c r="L303" s="656">
        <f t="shared" ref="L303:L307" si="273">K303*10%+K303</f>
        <v>2201.5611993786838</v>
      </c>
      <c r="M303" s="657">
        <f>L303*5%+L303</f>
        <v>2311.639259347618</v>
      </c>
      <c r="N303" s="656">
        <f t="shared" si="242"/>
        <v>2434.1561400930418</v>
      </c>
      <c r="O303" s="687">
        <f t="shared" si="243"/>
        <v>2553.4297909576007</v>
      </c>
      <c r="P303" s="688">
        <f t="shared" si="244"/>
        <v>2665.7807017597352</v>
      </c>
      <c r="Q303" s="938">
        <f t="shared" si="245"/>
        <v>2647.9066932230321</v>
      </c>
      <c r="R303" s="857">
        <f t="shared" si="246"/>
        <v>2735.2876140993922</v>
      </c>
      <c r="S303" s="857">
        <f t="shared" si="247"/>
        <v>2822.8168177505727</v>
      </c>
    </row>
    <row r="304" spans="1:19" s="149" customFormat="1" ht="15" thickBot="1">
      <c r="A304" s="154"/>
      <c r="B304" s="618"/>
      <c r="C304" s="182">
        <v>44000</v>
      </c>
      <c r="D304" s="190"/>
      <c r="E304" s="189"/>
      <c r="F304" s="400">
        <v>1786.57</v>
      </c>
      <c r="G304" s="654">
        <v>1786.57</v>
      </c>
      <c r="H304" s="656">
        <f t="shared" ref="H304:I304" si="274">G304*5.3%+G304</f>
        <v>1881.25821</v>
      </c>
      <c r="I304" s="656">
        <f t="shared" si="274"/>
        <v>1980.9648951300001</v>
      </c>
      <c r="J304" s="656">
        <f t="shared" si="213"/>
        <v>1822.4877035196</v>
      </c>
      <c r="K304" s="656">
        <f>I304*5.4%+I304</f>
        <v>2087.9369994670201</v>
      </c>
      <c r="L304" s="656">
        <f t="shared" si="273"/>
        <v>2296.730699413722</v>
      </c>
      <c r="M304" s="657">
        <f>L304*5%+L304</f>
        <v>2411.567234384408</v>
      </c>
      <c r="N304" s="656">
        <f t="shared" si="242"/>
        <v>2539.3802978067815</v>
      </c>
      <c r="O304" s="687">
        <f t="shared" si="243"/>
        <v>2663.8099323993138</v>
      </c>
      <c r="P304" s="688">
        <f t="shared" si="244"/>
        <v>2781.0175694248837</v>
      </c>
      <c r="Q304" s="938">
        <f t="shared" si="245"/>
        <v>2762.3708998980883</v>
      </c>
      <c r="R304" s="857">
        <f t="shared" si="246"/>
        <v>2853.5291395947252</v>
      </c>
      <c r="S304" s="857">
        <f t="shared" si="247"/>
        <v>2944.8420720617564</v>
      </c>
    </row>
    <row r="305" spans="1:19" s="149" customFormat="1" ht="15" thickBot="1">
      <c r="A305" s="154"/>
      <c r="B305" s="618"/>
      <c r="C305" s="182">
        <v>46000</v>
      </c>
      <c r="D305" s="190"/>
      <c r="E305" s="189"/>
      <c r="F305" s="400">
        <v>1860.59</v>
      </c>
      <c r="G305" s="654">
        <v>1860.59</v>
      </c>
      <c r="H305" s="656">
        <f t="shared" ref="H305:I305" si="275">G305*5.3%+G305</f>
        <v>1959.20127</v>
      </c>
      <c r="I305" s="656">
        <f t="shared" si="275"/>
        <v>2063.0389373100002</v>
      </c>
      <c r="J305" s="656">
        <f t="shared" si="213"/>
        <v>1897.9958223252002</v>
      </c>
      <c r="K305" s="656">
        <f>I305*5.4%+I305</f>
        <v>2174.4430399247403</v>
      </c>
      <c r="L305" s="656">
        <f t="shared" si="273"/>
        <v>2391.8873439172144</v>
      </c>
      <c r="M305" s="657">
        <f>L305*5%+L305</f>
        <v>2511.4817111130751</v>
      </c>
      <c r="N305" s="656">
        <f t="shared" si="242"/>
        <v>2644.5902418020682</v>
      </c>
      <c r="O305" s="687">
        <f t="shared" si="243"/>
        <v>2774.1751636503695</v>
      </c>
      <c r="P305" s="688">
        <f t="shared" si="244"/>
        <v>2896.2388708509857</v>
      </c>
      <c r="Q305" s="938">
        <f t="shared" si="245"/>
        <v>2876.8196447054333</v>
      </c>
      <c r="R305" s="857">
        <f t="shared" si="246"/>
        <v>2971.7546929807127</v>
      </c>
      <c r="S305" s="857">
        <f t="shared" si="247"/>
        <v>3066.8508431560954</v>
      </c>
    </row>
    <row r="306" spans="1:19" s="149" customFormat="1" ht="15" thickBot="1">
      <c r="A306" s="154"/>
      <c r="B306" s="618"/>
      <c r="C306" s="182">
        <v>48000</v>
      </c>
      <c r="D306" s="190"/>
      <c r="E306" s="189"/>
      <c r="F306" s="400">
        <v>1934.62</v>
      </c>
      <c r="G306" s="654">
        <v>1934.62</v>
      </c>
      <c r="H306" s="656">
        <f t="shared" ref="H306:I306" si="276">G306*5.3%+G306</f>
        <v>2037.1548599999999</v>
      </c>
      <c r="I306" s="656">
        <f t="shared" si="276"/>
        <v>2145.12406758</v>
      </c>
      <c r="J306" s="656">
        <f t="shared" si="213"/>
        <v>1973.5141421736</v>
      </c>
      <c r="K306" s="656">
        <f>I306*5.4%+I306</f>
        <v>2260.96076722932</v>
      </c>
      <c r="L306" s="656">
        <f t="shared" si="273"/>
        <v>2487.0568439522522</v>
      </c>
      <c r="M306" s="657">
        <f>L306*5%+L306</f>
        <v>2611.4096861498647</v>
      </c>
      <c r="N306" s="656">
        <f t="shared" si="242"/>
        <v>2749.8143995158075</v>
      </c>
      <c r="O306" s="687">
        <f t="shared" si="243"/>
        <v>2884.5553050920821</v>
      </c>
      <c r="P306" s="688">
        <f t="shared" si="244"/>
        <v>3011.4757385161338</v>
      </c>
      <c r="Q306" s="938">
        <f t="shared" si="245"/>
        <v>2991.2838513804891</v>
      </c>
      <c r="R306" s="857">
        <f t="shared" si="246"/>
        <v>3089.9962184760452</v>
      </c>
      <c r="S306" s="857">
        <f t="shared" si="247"/>
        <v>3188.8760974672787</v>
      </c>
    </row>
    <row r="307" spans="1:19" s="149" customFormat="1" ht="15" thickBot="1">
      <c r="A307" s="154"/>
      <c r="B307" s="618"/>
      <c r="C307" s="182">
        <v>50000</v>
      </c>
      <c r="D307" s="190"/>
      <c r="E307" s="189"/>
      <c r="F307" s="400">
        <v>2008.65</v>
      </c>
      <c r="G307" s="654">
        <v>2008.65</v>
      </c>
      <c r="H307" s="656">
        <f t="shared" ref="H307:I307" si="277">G307*5.3%+G307</f>
        <v>2115.1084500000002</v>
      </c>
      <c r="I307" s="656">
        <f t="shared" si="277"/>
        <v>2227.2091978500002</v>
      </c>
      <c r="J307" s="656">
        <f t="shared" si="213"/>
        <v>2049.0324620220003</v>
      </c>
      <c r="K307" s="656">
        <f>I307*5.4%+I307</f>
        <v>2347.4784945339002</v>
      </c>
      <c r="L307" s="656">
        <f t="shared" si="273"/>
        <v>2582.2263439872904</v>
      </c>
      <c r="M307" s="657">
        <f>L307*5%+L307</f>
        <v>2711.3376611866552</v>
      </c>
      <c r="N307" s="656">
        <f t="shared" si="242"/>
        <v>2855.0385572295477</v>
      </c>
      <c r="O307" s="687">
        <f t="shared" si="243"/>
        <v>2994.9354465337956</v>
      </c>
      <c r="P307" s="688">
        <f t="shared" si="244"/>
        <v>3126.7126061812828</v>
      </c>
      <c r="Q307" s="938">
        <f t="shared" si="245"/>
        <v>3105.7480580555462</v>
      </c>
      <c r="R307" s="857">
        <f t="shared" si="246"/>
        <v>3208.2377439713791</v>
      </c>
      <c r="S307" s="857">
        <f t="shared" si="247"/>
        <v>3310.9013517784633</v>
      </c>
    </row>
    <row r="308" spans="1:19" s="149" customFormat="1" ht="15" thickBot="1">
      <c r="A308" s="154"/>
      <c r="B308" s="618"/>
      <c r="C308" s="182"/>
      <c r="D308" s="190"/>
      <c r="E308" s="189"/>
      <c r="F308" s="400"/>
      <c r="G308" s="654"/>
      <c r="H308" s="656"/>
      <c r="I308" s="656"/>
      <c r="J308" s="656">
        <f t="shared" si="213"/>
        <v>0</v>
      </c>
      <c r="K308" s="656"/>
      <c r="L308" s="656"/>
      <c r="M308" s="657"/>
      <c r="N308" s="656">
        <f t="shared" si="242"/>
        <v>0</v>
      </c>
      <c r="O308" s="687">
        <f t="shared" si="243"/>
        <v>0</v>
      </c>
      <c r="P308" s="688">
        <f t="shared" si="244"/>
        <v>0</v>
      </c>
      <c r="Q308" s="938">
        <f t="shared" si="245"/>
        <v>0</v>
      </c>
      <c r="R308" s="857">
        <f t="shared" si="246"/>
        <v>0</v>
      </c>
      <c r="S308" s="857">
        <f t="shared" si="247"/>
        <v>0</v>
      </c>
    </row>
    <row r="309" spans="1:19" s="149" customFormat="1" ht="16" thickBot="1">
      <c r="A309" s="154"/>
      <c r="B309" s="618" t="s">
        <v>352</v>
      </c>
      <c r="C309" s="182">
        <v>92000</v>
      </c>
      <c r="D309" s="190"/>
      <c r="E309" s="189"/>
      <c r="F309" s="400"/>
      <c r="G309" s="654">
        <v>3056.45</v>
      </c>
      <c r="H309" s="656">
        <f t="shared" ref="H309:H313" si="278">G309*5.3%+G309</f>
        <v>3218.4418499999997</v>
      </c>
      <c r="I309" s="656">
        <f t="shared" ref="I309:I313" si="279">H309*5.3%+H309</f>
        <v>3389.0192680499995</v>
      </c>
      <c r="J309" s="656">
        <f t="shared" si="213"/>
        <v>3117.8977266059997</v>
      </c>
      <c r="K309" s="656">
        <f>I309*5.4%+I309</f>
        <v>3572.0263085246993</v>
      </c>
      <c r="L309" s="656">
        <f t="shared" ref="L309:L313" si="280">K309*10%+K309</f>
        <v>3929.2289393771694</v>
      </c>
      <c r="M309" s="657">
        <f>L309*5%+L309</f>
        <v>4125.6903863460275</v>
      </c>
      <c r="N309" s="656">
        <f t="shared" si="242"/>
        <v>4344.3519768223669</v>
      </c>
      <c r="O309" s="687">
        <f t="shared" si="243"/>
        <v>4557.2252236866625</v>
      </c>
      <c r="P309" s="688">
        <f t="shared" si="244"/>
        <v>4757.7431335288757</v>
      </c>
      <c r="Q309" s="938">
        <f t="shared" si="245"/>
        <v>4725.842556963069</v>
      </c>
      <c r="R309" s="857">
        <f t="shared" si="246"/>
        <v>4881.7953613428499</v>
      </c>
      <c r="S309" s="857">
        <f t="shared" si="247"/>
        <v>5038.0128129058212</v>
      </c>
    </row>
    <row r="310" spans="1:19" s="149" customFormat="1" ht="15" thickBot="1">
      <c r="A310" s="154"/>
      <c r="B310" s="618"/>
      <c r="C310" s="182">
        <v>94000</v>
      </c>
      <c r="D310" s="190"/>
      <c r="E310" s="189"/>
      <c r="F310" s="400"/>
      <c r="G310" s="654">
        <v>3119.28</v>
      </c>
      <c r="H310" s="656">
        <f t="shared" si="278"/>
        <v>3284.6018400000003</v>
      </c>
      <c r="I310" s="656">
        <f t="shared" si="279"/>
        <v>3458.6857375200002</v>
      </c>
      <c r="J310" s="656">
        <f t="shared" si="213"/>
        <v>3181.9908785184002</v>
      </c>
      <c r="K310" s="656">
        <f>I310*5.4%+I310</f>
        <v>3645.4547673460802</v>
      </c>
      <c r="L310" s="656">
        <f t="shared" si="280"/>
        <v>4010.0002440806884</v>
      </c>
      <c r="M310" s="657">
        <f>L310*5%+L310</f>
        <v>4210.500256284723</v>
      </c>
      <c r="N310" s="656">
        <f t="shared" ref="N310:N325" si="281">M310*5.3%+M310</f>
        <v>4433.6567698678136</v>
      </c>
      <c r="O310" s="687">
        <f t="shared" ref="O310:O325" si="282">N310*4.9%+N310</f>
        <v>4650.9059515913368</v>
      </c>
      <c r="P310" s="688">
        <f t="shared" ref="P310:P325" si="283">O310*4.4%+O310</f>
        <v>4855.5458134613555</v>
      </c>
      <c r="Q310" s="938">
        <f t="shared" ref="Q310:Q325" si="284">O310*3.7%+O310</f>
        <v>4822.9894718002161</v>
      </c>
      <c r="R310" s="857">
        <f t="shared" ref="R310:R325" si="285">Q310*3.3%+Q310</f>
        <v>4982.1481243696235</v>
      </c>
      <c r="S310" s="857">
        <f t="shared" ref="S310:S325" si="286">R310*3.2%+R310</f>
        <v>5141.5768643494512</v>
      </c>
    </row>
    <row r="311" spans="1:19" s="149" customFormat="1" ht="15" thickBot="1">
      <c r="A311" s="154"/>
      <c r="B311" s="618"/>
      <c r="C311" s="182">
        <v>96000</v>
      </c>
      <c r="D311" s="190"/>
      <c r="E311" s="189"/>
      <c r="F311" s="400"/>
      <c r="G311" s="654">
        <v>3182.11</v>
      </c>
      <c r="H311" s="656">
        <f t="shared" si="278"/>
        <v>3350.7618299999999</v>
      </c>
      <c r="I311" s="656">
        <f t="shared" si="279"/>
        <v>3528.35220699</v>
      </c>
      <c r="J311" s="656">
        <f t="shared" ref="J311:J325" si="287">I311-I311*0.08</f>
        <v>3246.0840304307999</v>
      </c>
      <c r="K311" s="656">
        <f>I311*5.4%+I311</f>
        <v>3718.8832261674602</v>
      </c>
      <c r="L311" s="656">
        <f t="shared" si="280"/>
        <v>4090.7715487842061</v>
      </c>
      <c r="M311" s="657">
        <f>L311*5%+L311</f>
        <v>4295.3101262234168</v>
      </c>
      <c r="N311" s="656">
        <f t="shared" si="281"/>
        <v>4522.9615629132577</v>
      </c>
      <c r="O311" s="687">
        <f t="shared" si="282"/>
        <v>4744.5866794960075</v>
      </c>
      <c r="P311" s="688">
        <f t="shared" si="283"/>
        <v>4953.3484933938316</v>
      </c>
      <c r="Q311" s="938">
        <f t="shared" si="284"/>
        <v>4920.1363866373595</v>
      </c>
      <c r="R311" s="857">
        <f t="shared" si="285"/>
        <v>5082.5008873963925</v>
      </c>
      <c r="S311" s="857">
        <f t="shared" si="286"/>
        <v>5245.1409157930775</v>
      </c>
    </row>
    <row r="312" spans="1:19" s="149" customFormat="1" ht="15" thickBot="1">
      <c r="A312" s="154"/>
      <c r="B312" s="618"/>
      <c r="C312" s="182">
        <v>98000</v>
      </c>
      <c r="D312" s="190"/>
      <c r="E312" s="189"/>
      <c r="F312" s="400"/>
      <c r="G312" s="654">
        <v>3244.94</v>
      </c>
      <c r="H312" s="656">
        <f t="shared" si="278"/>
        <v>3416.92182</v>
      </c>
      <c r="I312" s="656">
        <f t="shared" si="279"/>
        <v>3598.0186764599998</v>
      </c>
      <c r="J312" s="656">
        <f t="shared" si="287"/>
        <v>3310.1771823432</v>
      </c>
      <c r="K312" s="656">
        <f>I312*5.4%+I312</f>
        <v>3792.3116849888397</v>
      </c>
      <c r="L312" s="656">
        <f t="shared" si="280"/>
        <v>4171.5428534877237</v>
      </c>
      <c r="M312" s="657">
        <f>L312*5%+L312</f>
        <v>4380.1199961621096</v>
      </c>
      <c r="N312" s="656">
        <f t="shared" si="281"/>
        <v>4612.2663559587018</v>
      </c>
      <c r="O312" s="687">
        <f t="shared" si="282"/>
        <v>4838.2674074006782</v>
      </c>
      <c r="P312" s="688">
        <f t="shared" si="283"/>
        <v>5051.1511733263078</v>
      </c>
      <c r="Q312" s="938">
        <f t="shared" si="284"/>
        <v>5017.2833014745029</v>
      </c>
      <c r="R312" s="857">
        <f t="shared" si="285"/>
        <v>5182.8536504231615</v>
      </c>
      <c r="S312" s="857">
        <f t="shared" si="286"/>
        <v>5348.7049672367029</v>
      </c>
    </row>
    <row r="313" spans="1:19" s="149" customFormat="1" ht="15" thickBot="1">
      <c r="A313" s="154"/>
      <c r="B313" s="618"/>
      <c r="C313" s="182">
        <v>100000</v>
      </c>
      <c r="D313" s="190"/>
      <c r="E313" s="189"/>
      <c r="F313" s="400"/>
      <c r="G313" s="654">
        <v>3307.77</v>
      </c>
      <c r="H313" s="656">
        <f t="shared" si="278"/>
        <v>3483.0818100000001</v>
      </c>
      <c r="I313" s="656">
        <f t="shared" si="279"/>
        <v>3667.6851459300001</v>
      </c>
      <c r="J313" s="656">
        <f t="shared" si="287"/>
        <v>3374.2703342556001</v>
      </c>
      <c r="K313" s="656">
        <f>I313*5.4%+I313</f>
        <v>3865.7401438102202</v>
      </c>
      <c r="L313" s="656">
        <f t="shared" si="280"/>
        <v>4252.3141581912423</v>
      </c>
      <c r="M313" s="657">
        <f>L313*5%+L313</f>
        <v>4464.9298661008042</v>
      </c>
      <c r="N313" s="656">
        <f t="shared" si="281"/>
        <v>4701.5711490041467</v>
      </c>
      <c r="O313" s="687">
        <f t="shared" si="282"/>
        <v>4931.9481353053498</v>
      </c>
      <c r="P313" s="688">
        <f t="shared" si="283"/>
        <v>5148.9538532587849</v>
      </c>
      <c r="Q313" s="938">
        <f t="shared" si="284"/>
        <v>5114.4302163116481</v>
      </c>
      <c r="R313" s="857">
        <f t="shared" si="285"/>
        <v>5283.2064134499324</v>
      </c>
      <c r="S313" s="857">
        <f t="shared" si="286"/>
        <v>5452.2690186803302</v>
      </c>
    </row>
    <row r="314" spans="1:19" s="149" customFormat="1" ht="15" thickBot="1">
      <c r="A314" s="154"/>
      <c r="B314" s="618"/>
      <c r="C314" s="182"/>
      <c r="D314" s="190"/>
      <c r="E314" s="189"/>
      <c r="F314" s="400"/>
      <c r="G314" s="654"/>
      <c r="H314" s="656"/>
      <c r="I314" s="656"/>
      <c r="J314" s="656">
        <f t="shared" si="287"/>
        <v>0</v>
      </c>
      <c r="K314" s="656"/>
      <c r="L314" s="656"/>
      <c r="M314" s="657"/>
      <c r="N314" s="656">
        <f t="shared" si="281"/>
        <v>0</v>
      </c>
      <c r="O314" s="687">
        <f t="shared" si="282"/>
        <v>0</v>
      </c>
      <c r="P314" s="688">
        <f t="shared" si="283"/>
        <v>0</v>
      </c>
      <c r="Q314" s="938">
        <f t="shared" si="284"/>
        <v>0</v>
      </c>
      <c r="R314" s="857">
        <f t="shared" si="285"/>
        <v>0</v>
      </c>
      <c r="S314" s="857">
        <f t="shared" si="286"/>
        <v>0</v>
      </c>
    </row>
    <row r="315" spans="1:19" s="149" customFormat="1" ht="16" thickBot="1">
      <c r="A315" s="154"/>
      <c r="B315" s="618" t="s">
        <v>353</v>
      </c>
      <c r="C315" s="182"/>
      <c r="D315" s="190"/>
      <c r="E315" s="189"/>
      <c r="F315" s="400"/>
      <c r="G315" s="654">
        <v>59.57</v>
      </c>
      <c r="H315" s="656">
        <f t="shared" ref="H315" si="288">G315*5.3%+G315</f>
        <v>62.727209999999999</v>
      </c>
      <c r="I315" s="656">
        <f t="shared" ref="I315" si="289">H315*5.3%+H315</f>
        <v>66.051752129999997</v>
      </c>
      <c r="J315" s="656">
        <f t="shared" si="287"/>
        <v>60.767611959599996</v>
      </c>
      <c r="K315" s="656">
        <f>I315*5.4%+I315</f>
        <v>69.618546745019998</v>
      </c>
      <c r="L315" s="656">
        <f>K315*10%+K315</f>
        <v>76.580401419521991</v>
      </c>
      <c r="M315" s="657">
        <f>L315*5%+L315</f>
        <v>80.40942149049809</v>
      </c>
      <c r="N315" s="656">
        <f t="shared" si="281"/>
        <v>84.671120829494484</v>
      </c>
      <c r="O315" s="687">
        <f t="shared" si="282"/>
        <v>88.820005750139714</v>
      </c>
      <c r="P315" s="688">
        <f t="shared" si="283"/>
        <v>92.728086003145862</v>
      </c>
      <c r="Q315" s="938">
        <f t="shared" si="284"/>
        <v>92.106345962894878</v>
      </c>
      <c r="R315" s="857">
        <f t="shared" si="285"/>
        <v>95.145855379670408</v>
      </c>
      <c r="S315" s="857">
        <f t="shared" si="286"/>
        <v>98.190522751819856</v>
      </c>
    </row>
    <row r="316" spans="1:19" s="149" customFormat="1" ht="15" thickBot="1">
      <c r="A316" s="154"/>
      <c r="B316" s="618"/>
      <c r="C316" s="182"/>
      <c r="D316" s="190"/>
      <c r="E316" s="189"/>
      <c r="F316" s="400"/>
      <c r="G316" s="654"/>
      <c r="H316" s="656"/>
      <c r="I316" s="656"/>
      <c r="J316" s="656">
        <f t="shared" si="287"/>
        <v>0</v>
      </c>
      <c r="K316" s="656"/>
      <c r="L316" s="656"/>
      <c r="M316" s="657"/>
      <c r="N316" s="656">
        <f t="shared" si="281"/>
        <v>0</v>
      </c>
      <c r="O316" s="687">
        <f t="shared" si="282"/>
        <v>0</v>
      </c>
      <c r="P316" s="688">
        <f t="shared" si="283"/>
        <v>0</v>
      </c>
      <c r="Q316" s="938">
        <f t="shared" si="284"/>
        <v>0</v>
      </c>
      <c r="R316" s="857">
        <f t="shared" si="285"/>
        <v>0</v>
      </c>
      <c r="S316" s="857">
        <f t="shared" si="286"/>
        <v>0</v>
      </c>
    </row>
    <row r="317" spans="1:19" s="149" customFormat="1" ht="16" thickBot="1">
      <c r="A317" s="154"/>
      <c r="B317" s="618" t="s">
        <v>354</v>
      </c>
      <c r="C317" s="182"/>
      <c r="D317" s="190"/>
      <c r="E317" s="189"/>
      <c r="F317" s="400"/>
      <c r="G317" s="654">
        <v>106.43</v>
      </c>
      <c r="H317" s="656">
        <f t="shared" ref="H317" si="290">G317*5.3%+G317</f>
        <v>112.07079</v>
      </c>
      <c r="I317" s="656">
        <f t="shared" ref="I317" si="291">H317*5.3%+H317</f>
        <v>118.01054187</v>
      </c>
      <c r="J317" s="656">
        <f t="shared" si="287"/>
        <v>108.5696985204</v>
      </c>
      <c r="K317" s="656">
        <f>I317*5.4%+I317</f>
        <v>124.38311113098</v>
      </c>
      <c r="L317" s="656">
        <f>K317*10%+K317</f>
        <v>136.82142224407801</v>
      </c>
      <c r="M317" s="657">
        <f>L317*5%+L317</f>
        <v>143.66249335628191</v>
      </c>
      <c r="N317" s="656">
        <f t="shared" si="281"/>
        <v>151.27660550416485</v>
      </c>
      <c r="O317" s="687">
        <f t="shared" si="282"/>
        <v>158.68915917386892</v>
      </c>
      <c r="P317" s="688">
        <f t="shared" si="283"/>
        <v>165.67148217751915</v>
      </c>
      <c r="Q317" s="938">
        <f t="shared" si="284"/>
        <v>164.56065806330207</v>
      </c>
      <c r="R317" s="857">
        <f t="shared" si="285"/>
        <v>169.99115977939104</v>
      </c>
      <c r="S317" s="857">
        <f t="shared" si="286"/>
        <v>175.43087689233155</v>
      </c>
    </row>
    <row r="318" spans="1:19" s="149" customFormat="1" ht="15" thickBot="1">
      <c r="A318" s="154"/>
      <c r="B318" s="618"/>
      <c r="C318" s="182"/>
      <c r="D318" s="190"/>
      <c r="E318" s="189"/>
      <c r="F318" s="400"/>
      <c r="G318" s="654"/>
      <c r="H318" s="656"/>
      <c r="I318" s="656"/>
      <c r="J318" s="656">
        <f t="shared" si="287"/>
        <v>0</v>
      </c>
      <c r="K318" s="656"/>
      <c r="L318" s="656"/>
      <c r="M318" s="657"/>
      <c r="N318" s="656">
        <f t="shared" si="281"/>
        <v>0</v>
      </c>
      <c r="O318" s="687">
        <f t="shared" si="282"/>
        <v>0</v>
      </c>
      <c r="P318" s="688">
        <f t="shared" si="283"/>
        <v>0</v>
      </c>
      <c r="Q318" s="938">
        <f t="shared" si="284"/>
        <v>0</v>
      </c>
      <c r="R318" s="857">
        <f t="shared" si="285"/>
        <v>0</v>
      </c>
      <c r="S318" s="857">
        <f t="shared" si="286"/>
        <v>0</v>
      </c>
    </row>
    <row r="319" spans="1:19" s="149" customFormat="1" ht="16" thickBot="1">
      <c r="A319" s="154"/>
      <c r="B319" s="618" t="s">
        <v>355</v>
      </c>
      <c r="C319" s="182"/>
      <c r="D319" s="190"/>
      <c r="E319" s="189"/>
      <c r="F319" s="400">
        <v>4515.45</v>
      </c>
      <c r="G319" s="654">
        <v>4515.45</v>
      </c>
      <c r="H319" s="656">
        <f t="shared" ref="H319:I319" si="292">G319*5.3%+G319</f>
        <v>4754.7688499999995</v>
      </c>
      <c r="I319" s="656">
        <f t="shared" si="292"/>
        <v>5006.7715990499992</v>
      </c>
      <c r="J319" s="656">
        <f t="shared" si="287"/>
        <v>4606.2298711259991</v>
      </c>
      <c r="K319" s="656">
        <f>I319*5.4%+I319</f>
        <v>5277.1372653986991</v>
      </c>
      <c r="L319" s="656">
        <f>K319*10%+K319</f>
        <v>5804.8509919385688</v>
      </c>
      <c r="M319" s="657">
        <f>L319*5%+L319</f>
        <v>6095.093541535497</v>
      </c>
      <c r="N319" s="656">
        <f t="shared" si="281"/>
        <v>6418.1334992368784</v>
      </c>
      <c r="O319" s="687">
        <f t="shared" si="282"/>
        <v>6732.6220406994853</v>
      </c>
      <c r="P319" s="688">
        <f t="shared" si="283"/>
        <v>7028.8574104902627</v>
      </c>
      <c r="Q319" s="938">
        <f t="shared" si="284"/>
        <v>6981.7290562053659</v>
      </c>
      <c r="R319" s="857">
        <f t="shared" si="285"/>
        <v>7212.1261150601431</v>
      </c>
      <c r="S319" s="857">
        <f t="shared" si="286"/>
        <v>7442.9141507420672</v>
      </c>
    </row>
    <row r="320" spans="1:19" s="149" customFormat="1" ht="15" thickBot="1">
      <c r="A320" s="154"/>
      <c r="B320" s="618"/>
      <c r="C320" s="182"/>
      <c r="D320" s="190"/>
      <c r="E320" s="189"/>
      <c r="F320" s="400"/>
      <c r="G320" s="654"/>
      <c r="H320" s="656"/>
      <c r="I320" s="656"/>
      <c r="J320" s="656">
        <f t="shared" si="287"/>
        <v>0</v>
      </c>
      <c r="K320" s="656"/>
      <c r="L320" s="656"/>
      <c r="M320" s="657"/>
      <c r="N320" s="656">
        <f t="shared" si="281"/>
        <v>0</v>
      </c>
      <c r="O320" s="687">
        <f t="shared" si="282"/>
        <v>0</v>
      </c>
      <c r="P320" s="688">
        <f t="shared" si="283"/>
        <v>0</v>
      </c>
      <c r="Q320" s="938">
        <f t="shared" si="284"/>
        <v>0</v>
      </c>
      <c r="R320" s="857">
        <f t="shared" si="285"/>
        <v>0</v>
      </c>
      <c r="S320" s="857">
        <f t="shared" si="286"/>
        <v>0</v>
      </c>
    </row>
    <row r="321" spans="1:19" s="149" customFormat="1" ht="16" thickBot="1">
      <c r="A321" s="154"/>
      <c r="B321" s="618" t="s">
        <v>356</v>
      </c>
      <c r="C321" s="182"/>
      <c r="D321" s="190"/>
      <c r="E321" s="189"/>
      <c r="F321" s="400">
        <v>414.05</v>
      </c>
      <c r="G321" s="654">
        <v>414.05</v>
      </c>
      <c r="H321" s="656">
        <f t="shared" ref="H321:I321" si="293">G321*5.3%+G321</f>
        <v>435.99465000000004</v>
      </c>
      <c r="I321" s="656">
        <f t="shared" si="293"/>
        <v>459.10236645000003</v>
      </c>
      <c r="J321" s="656">
        <f t="shared" si="287"/>
        <v>422.37417713400004</v>
      </c>
      <c r="K321" s="656">
        <f>I321*5.4%+I321</f>
        <v>483.89389423830005</v>
      </c>
      <c r="L321" s="656">
        <f>K321*10%+K321</f>
        <v>532.28328366213009</v>
      </c>
      <c r="M321" s="657">
        <f>L321*5%+L321</f>
        <v>558.89744784523657</v>
      </c>
      <c r="N321" s="656">
        <f t="shared" si="281"/>
        <v>588.51901258103408</v>
      </c>
      <c r="O321" s="687">
        <f t="shared" si="282"/>
        <v>617.35644419750474</v>
      </c>
      <c r="P321" s="688">
        <f t="shared" si="283"/>
        <v>644.52012774219497</v>
      </c>
      <c r="Q321" s="938">
        <f t="shared" si="284"/>
        <v>640.19863263281241</v>
      </c>
      <c r="R321" s="857">
        <f t="shared" si="285"/>
        <v>661.32518750969518</v>
      </c>
      <c r="S321" s="857">
        <f t="shared" si="286"/>
        <v>682.48759351000547</v>
      </c>
    </row>
    <row r="322" spans="1:19" s="149" customFormat="1" ht="15" thickBot="1">
      <c r="A322" s="154"/>
      <c r="B322" s="618"/>
      <c r="C322" s="182"/>
      <c r="D322" s="190"/>
      <c r="E322" s="189"/>
      <c r="F322" s="400"/>
      <c r="G322" s="654"/>
      <c r="H322" s="656"/>
      <c r="I322" s="656"/>
      <c r="J322" s="656">
        <f t="shared" si="287"/>
        <v>0</v>
      </c>
      <c r="K322" s="656"/>
      <c r="L322" s="656"/>
      <c r="M322" s="657"/>
      <c r="N322" s="656">
        <f t="shared" si="281"/>
        <v>0</v>
      </c>
      <c r="O322" s="687">
        <f t="shared" si="282"/>
        <v>0</v>
      </c>
      <c r="P322" s="688">
        <f t="shared" si="283"/>
        <v>0</v>
      </c>
      <c r="Q322" s="938">
        <f t="shared" si="284"/>
        <v>0</v>
      </c>
      <c r="R322" s="857">
        <f t="shared" si="285"/>
        <v>0</v>
      </c>
      <c r="S322" s="857">
        <f t="shared" si="286"/>
        <v>0</v>
      </c>
    </row>
    <row r="323" spans="1:19" s="149" customFormat="1" ht="16" thickBot="1">
      <c r="A323" s="154"/>
      <c r="B323" s="618" t="s">
        <v>357</v>
      </c>
      <c r="C323" s="182"/>
      <c r="D323" s="190"/>
      <c r="E323" s="189"/>
      <c r="F323" s="400">
        <v>3653.11</v>
      </c>
      <c r="G323" s="654">
        <v>3653.11</v>
      </c>
      <c r="H323" s="656">
        <f t="shared" ref="H323:I323" si="294">G323*5.3%+G323</f>
        <v>3846.7248300000001</v>
      </c>
      <c r="I323" s="656">
        <f t="shared" si="294"/>
        <v>4050.6012459900003</v>
      </c>
      <c r="J323" s="656">
        <f t="shared" si="287"/>
        <v>3726.5531463108</v>
      </c>
      <c r="K323" s="656">
        <f>I323*5.4%+I323</f>
        <v>4269.3337132734605</v>
      </c>
      <c r="L323" s="656">
        <f>K323*10%+K323</f>
        <v>4696.2670846008068</v>
      </c>
      <c r="M323" s="657">
        <f>L323*5%+L323</f>
        <v>4931.080438830847</v>
      </c>
      <c r="N323" s="656">
        <f t="shared" si="281"/>
        <v>5192.4277020888821</v>
      </c>
      <c r="O323" s="687">
        <f t="shared" si="282"/>
        <v>5446.8566594912372</v>
      </c>
      <c r="P323" s="688">
        <f t="shared" si="283"/>
        <v>5686.5183525088514</v>
      </c>
      <c r="Q323" s="938">
        <f t="shared" si="284"/>
        <v>5648.390355892413</v>
      </c>
      <c r="R323" s="857">
        <f t="shared" si="285"/>
        <v>5834.7872376368623</v>
      </c>
      <c r="S323" s="857">
        <f t="shared" si="286"/>
        <v>6021.5004292412423</v>
      </c>
    </row>
    <row r="324" spans="1:19" s="149" customFormat="1" ht="15" thickBot="1">
      <c r="A324" s="154"/>
      <c r="B324" s="618"/>
      <c r="C324" s="182"/>
      <c r="D324" s="190"/>
      <c r="E324" s="189"/>
      <c r="F324" s="400"/>
      <c r="G324" s="654"/>
      <c r="H324" s="656"/>
      <c r="I324" s="656"/>
      <c r="J324" s="656">
        <f t="shared" si="287"/>
        <v>0</v>
      </c>
      <c r="K324" s="656"/>
      <c r="L324" s="656"/>
      <c r="M324" s="657"/>
      <c r="N324" s="656">
        <f t="shared" si="281"/>
        <v>0</v>
      </c>
      <c r="O324" s="687">
        <f t="shared" si="282"/>
        <v>0</v>
      </c>
      <c r="P324" s="688">
        <f t="shared" si="283"/>
        <v>0</v>
      </c>
      <c r="Q324" s="938">
        <f t="shared" si="284"/>
        <v>0</v>
      </c>
      <c r="R324" s="857">
        <f t="shared" si="285"/>
        <v>0</v>
      </c>
      <c r="S324" s="857">
        <f t="shared" si="286"/>
        <v>0</v>
      </c>
    </row>
    <row r="325" spans="1:19" s="149" customFormat="1" ht="16" thickBot="1">
      <c r="A325" s="154"/>
      <c r="B325" s="618" t="s">
        <v>358</v>
      </c>
      <c r="C325" s="182"/>
      <c r="D325" s="190"/>
      <c r="E325" s="189"/>
      <c r="F325" s="400">
        <v>409.36</v>
      </c>
      <c r="G325" s="654">
        <v>409.36</v>
      </c>
      <c r="H325" s="656">
        <f t="shared" ref="H325:I325" si="295">G325*5.3%+G325</f>
        <v>431.05608000000001</v>
      </c>
      <c r="I325" s="656">
        <f t="shared" si="295"/>
        <v>453.90205223999999</v>
      </c>
      <c r="J325" s="656">
        <f t="shared" si="287"/>
        <v>417.58988806079998</v>
      </c>
      <c r="K325" s="656">
        <f>I325*5.4%+I325</f>
        <v>478.41276306096</v>
      </c>
      <c r="L325" s="656">
        <f>K325*10%+K325</f>
        <v>526.25403936705607</v>
      </c>
      <c r="M325" s="657">
        <f>L325*5%+L325</f>
        <v>552.56674133540889</v>
      </c>
      <c r="N325" s="656">
        <f t="shared" si="281"/>
        <v>581.85277862618557</v>
      </c>
      <c r="O325" s="687">
        <f t="shared" si="282"/>
        <v>610.36356477886864</v>
      </c>
      <c r="P325" s="688">
        <f t="shared" si="283"/>
        <v>637.21956162913887</v>
      </c>
      <c r="Q325" s="938">
        <f t="shared" si="284"/>
        <v>632.94701667568677</v>
      </c>
      <c r="R325" s="857">
        <f t="shared" si="285"/>
        <v>653.83426822598449</v>
      </c>
      <c r="S325" s="857">
        <f t="shared" si="286"/>
        <v>674.75696480921602</v>
      </c>
    </row>
    <row r="326" spans="1:19" ht="12" customHeight="1" thickBot="1">
      <c r="A326" s="62"/>
      <c r="B326" s="61" t="s">
        <v>29</v>
      </c>
      <c r="E326" s="13"/>
      <c r="N326" s="743"/>
      <c r="O326" s="905"/>
      <c r="P326" s="933"/>
      <c r="Q326" s="898"/>
      <c r="R326" s="668"/>
      <c r="S326" s="668"/>
    </row>
    <row r="327" spans="1:19" ht="16" thickBot="1">
      <c r="A327" s="192"/>
      <c r="B327" s="206"/>
      <c r="C327" s="206"/>
      <c r="D327" s="206"/>
      <c r="E327" s="396"/>
      <c r="H327" s="744"/>
      <c r="I327" s="744"/>
      <c r="J327" s="744"/>
      <c r="K327" s="651"/>
      <c r="L327" s="651"/>
      <c r="M327" s="651"/>
      <c r="N327" s="651"/>
      <c r="O327" s="684"/>
      <c r="P327" s="918"/>
      <c r="Q327" s="898"/>
      <c r="R327" s="668"/>
      <c r="S327" s="668"/>
    </row>
    <row r="328" spans="1:19" ht="31" thickBot="1">
      <c r="A328" s="3"/>
      <c r="B328" s="9"/>
      <c r="C328" s="10"/>
      <c r="D328" s="11"/>
      <c r="E328" s="12" t="s">
        <v>299</v>
      </c>
      <c r="F328" s="12" t="s">
        <v>300</v>
      </c>
      <c r="G328" s="746" t="s">
        <v>301</v>
      </c>
      <c r="H328" s="692" t="s">
        <v>302</v>
      </c>
      <c r="I328" s="692" t="s">
        <v>303</v>
      </c>
      <c r="J328" s="693" t="s">
        <v>304</v>
      </c>
      <c r="K328" s="692" t="s">
        <v>326</v>
      </c>
      <c r="L328" s="693" t="s">
        <v>305</v>
      </c>
      <c r="M328" s="693" t="s">
        <v>306</v>
      </c>
      <c r="N328" s="702" t="s">
        <v>307</v>
      </c>
      <c r="O328" s="700" t="s">
        <v>308</v>
      </c>
      <c r="P328" s="701" t="s">
        <v>309</v>
      </c>
      <c r="Q328" s="942" t="s">
        <v>310</v>
      </c>
      <c r="R328" s="882" t="s">
        <v>1248</v>
      </c>
      <c r="S328" s="882" t="s">
        <v>1251</v>
      </c>
    </row>
    <row r="329" spans="1:19" ht="15" thickBot="1">
      <c r="A329" s="192"/>
      <c r="B329" s="209" t="s">
        <v>359</v>
      </c>
      <c r="C329" s="195"/>
      <c r="D329" s="195"/>
      <c r="E329" s="195"/>
      <c r="F329" s="195"/>
      <c r="G329" s="652"/>
      <c r="H329" s="651"/>
      <c r="I329" s="651"/>
      <c r="J329" s="651"/>
      <c r="K329" s="651"/>
      <c r="L329" s="651"/>
      <c r="M329" s="651"/>
      <c r="N329" s="651"/>
      <c r="O329" s="684"/>
      <c r="P329" s="918"/>
      <c r="Q329" s="898"/>
      <c r="R329" s="668"/>
      <c r="S329" s="668"/>
    </row>
    <row r="330" spans="1:19" ht="15" thickBot="1">
      <c r="A330" s="192"/>
      <c r="B330" s="195" t="s">
        <v>247</v>
      </c>
      <c r="C330" s="195"/>
      <c r="D330" s="195"/>
      <c r="E330" s="195"/>
      <c r="F330" s="195"/>
      <c r="G330" s="652"/>
      <c r="H330" s="651"/>
      <c r="I330" s="651"/>
      <c r="J330" s="651"/>
      <c r="K330" s="651"/>
      <c r="L330" s="651"/>
      <c r="M330" s="651"/>
      <c r="N330" s="651"/>
      <c r="O330" s="684"/>
      <c r="P330" s="918"/>
      <c r="Q330" s="898"/>
      <c r="R330" s="668"/>
      <c r="S330" s="668"/>
    </row>
    <row r="331" spans="1:19" ht="15" thickBot="1">
      <c r="A331" s="192"/>
      <c r="B331" s="195" t="s">
        <v>248</v>
      </c>
      <c r="C331" s="195"/>
      <c r="D331" s="195"/>
      <c r="E331" s="195"/>
      <c r="F331" s="195"/>
      <c r="G331" s="652"/>
      <c r="H331" s="651"/>
      <c r="I331" s="651"/>
      <c r="J331" s="651"/>
      <c r="K331" s="651"/>
      <c r="L331" s="651"/>
      <c r="M331" s="651"/>
      <c r="N331" s="651"/>
      <c r="O331" s="684"/>
      <c r="P331" s="918"/>
      <c r="Q331" s="898"/>
      <c r="R331" s="668"/>
      <c r="S331" s="668"/>
    </row>
    <row r="332" spans="1:19" ht="15" thickBot="1">
      <c r="A332" s="192"/>
      <c r="B332" s="195"/>
      <c r="C332" s="195"/>
      <c r="D332" s="195"/>
      <c r="E332" s="195"/>
      <c r="F332" s="195"/>
      <c r="G332" s="652"/>
      <c r="H332" s="651"/>
      <c r="I332" s="651"/>
      <c r="J332" s="651"/>
      <c r="K332" s="651"/>
      <c r="L332" s="651"/>
      <c r="M332" s="651"/>
      <c r="N332" s="651"/>
      <c r="O332" s="684"/>
      <c r="P332" s="918"/>
      <c r="Q332" s="898"/>
      <c r="R332" s="668"/>
      <c r="S332" s="668"/>
    </row>
    <row r="333" spans="1:19" ht="15" thickBot="1">
      <c r="A333" s="192"/>
      <c r="B333" s="195"/>
      <c r="C333" s="193" t="s">
        <v>360</v>
      </c>
      <c r="D333" s="195"/>
      <c r="E333" s="195"/>
      <c r="H333" s="744"/>
      <c r="I333" s="744"/>
      <c r="J333" s="744"/>
      <c r="K333" s="651"/>
      <c r="L333" s="651"/>
      <c r="M333" s="651"/>
      <c r="N333" s="651"/>
      <c r="O333" s="684"/>
      <c r="P333" s="918"/>
      <c r="Q333" s="898"/>
      <c r="R333" s="668"/>
      <c r="S333" s="668"/>
    </row>
    <row r="334" spans="1:19" ht="15" thickBot="1">
      <c r="A334" s="192"/>
      <c r="B334" s="195"/>
      <c r="C334" s="195" t="s">
        <v>250</v>
      </c>
      <c r="D334" s="198"/>
      <c r="E334" s="323">
        <v>952.68439999999987</v>
      </c>
      <c r="F334" s="323">
        <f t="shared" ref="F334:F339" si="296">E334*106.9/100</f>
        <v>1018.4196235999999</v>
      </c>
      <c r="G334" s="657">
        <f>F334*106.4/100</f>
        <v>1083.5984795104</v>
      </c>
      <c r="H334" s="656">
        <f>G334*5.3%+G334</f>
        <v>1141.0291989244513</v>
      </c>
      <c r="I334" s="656">
        <f t="shared" ref="I334" si="297">H334*5.3%+H334</f>
        <v>1201.5037464674472</v>
      </c>
      <c r="J334" s="656">
        <f>H334*5.4%+H334</f>
        <v>1202.6447756663717</v>
      </c>
      <c r="K334" s="656">
        <f>I334*5.4%+I334</f>
        <v>1266.3849487766893</v>
      </c>
      <c r="L334" s="656">
        <f>K334*10%+K334</f>
        <v>1393.0234436543583</v>
      </c>
      <c r="M334" s="656">
        <f t="shared" ref="M334:M339" si="298">L334*5%+L334</f>
        <v>1462.6746158370761</v>
      </c>
      <c r="N334" s="656">
        <f t="shared" ref="N334:N339" si="299">M334*5.3%+M334</f>
        <v>1540.1963704764412</v>
      </c>
      <c r="O334" s="687">
        <f t="shared" ref="O334:O339" si="300">N334*4.9%+N334</f>
        <v>1615.6659926297868</v>
      </c>
      <c r="P334" s="688">
        <f t="shared" ref="P334:P339" si="301">O334*4.4%+O334</f>
        <v>1686.7552963054975</v>
      </c>
      <c r="Q334" s="898">
        <f t="shared" ref="Q334:Q339" si="302">O334*3.7%+O334</f>
        <v>1675.4456343570889</v>
      </c>
      <c r="R334" s="668">
        <f t="shared" ref="R334:R339" si="303">Q334*3.3%+Q334</f>
        <v>1730.735340290873</v>
      </c>
      <c r="S334" s="668">
        <f t="shared" ref="S334:S339" si="304">R334*3.2%+R334</f>
        <v>1786.1188711801808</v>
      </c>
    </row>
    <row r="335" spans="1:19" ht="15" thickBot="1">
      <c r="A335" s="192"/>
      <c r="B335" s="195"/>
      <c r="C335" s="195" t="s">
        <v>251</v>
      </c>
      <c r="D335" s="198"/>
      <c r="E335" s="323">
        <v>952.68439999999987</v>
      </c>
      <c r="F335" s="323">
        <f t="shared" si="296"/>
        <v>1018.4196235999999</v>
      </c>
      <c r="G335" s="657">
        <f t="shared" ref="G335:G339" si="305">F335*106.4/100</f>
        <v>1083.5984795104</v>
      </c>
      <c r="H335" s="656">
        <f t="shared" ref="H335:I335" si="306">G335*5.3%+G335</f>
        <v>1141.0291989244513</v>
      </c>
      <c r="I335" s="656">
        <f t="shared" si="306"/>
        <v>1201.5037464674472</v>
      </c>
      <c r="J335" s="656">
        <f>H335*5.4%+H335</f>
        <v>1202.6447756663717</v>
      </c>
      <c r="K335" s="656">
        <f>I335*5.4%+I335</f>
        <v>1266.3849487766893</v>
      </c>
      <c r="L335" s="656">
        <f t="shared" ref="L335:L339" si="307">K335*10%+K335</f>
        <v>1393.0234436543583</v>
      </c>
      <c r="M335" s="656">
        <f t="shared" si="298"/>
        <v>1462.6746158370761</v>
      </c>
      <c r="N335" s="656">
        <f t="shared" si="299"/>
        <v>1540.1963704764412</v>
      </c>
      <c r="O335" s="687">
        <f t="shared" si="300"/>
        <v>1615.6659926297868</v>
      </c>
      <c r="P335" s="688">
        <f t="shared" si="301"/>
        <v>1686.7552963054975</v>
      </c>
      <c r="Q335" s="898">
        <f t="shared" si="302"/>
        <v>1675.4456343570889</v>
      </c>
      <c r="R335" s="668">
        <f t="shared" si="303"/>
        <v>1730.735340290873</v>
      </c>
      <c r="S335" s="668">
        <f t="shared" si="304"/>
        <v>1786.1188711801808</v>
      </c>
    </row>
    <row r="336" spans="1:19" ht="16" thickBot="1">
      <c r="A336" s="192"/>
      <c r="B336" s="195"/>
      <c r="C336" s="210" t="s">
        <v>361</v>
      </c>
      <c r="D336" s="198"/>
      <c r="E336" s="323">
        <v>952.68439999999987</v>
      </c>
      <c r="F336" s="323">
        <f t="shared" si="296"/>
        <v>1018.4196235999999</v>
      </c>
      <c r="G336" s="657">
        <f>G335*2</f>
        <v>2167.1969590208</v>
      </c>
      <c r="H336" s="678">
        <f>H335*2</f>
        <v>2282.0583978489026</v>
      </c>
      <c r="I336" s="656">
        <f>I335*2</f>
        <v>2403.0074929348943</v>
      </c>
      <c r="J336" s="656">
        <f t="shared" ref="J336:J339" si="308">H336*5.4%+H336</f>
        <v>2405.2895513327435</v>
      </c>
      <c r="K336" s="656">
        <f>I336*5.4%+I336</f>
        <v>2532.7698975533785</v>
      </c>
      <c r="L336" s="656">
        <f t="shared" si="307"/>
        <v>2786.0468873087166</v>
      </c>
      <c r="M336" s="656">
        <f t="shared" si="298"/>
        <v>2925.3492316741522</v>
      </c>
      <c r="N336" s="656">
        <f t="shared" si="299"/>
        <v>3080.3927409528824</v>
      </c>
      <c r="O336" s="687">
        <f t="shared" si="300"/>
        <v>3231.3319852595737</v>
      </c>
      <c r="P336" s="688">
        <f t="shared" si="301"/>
        <v>3373.510592610995</v>
      </c>
      <c r="Q336" s="898">
        <f t="shared" si="302"/>
        <v>3350.8912687141778</v>
      </c>
      <c r="R336" s="668">
        <f t="shared" si="303"/>
        <v>3461.4706805817459</v>
      </c>
      <c r="S336" s="668">
        <f t="shared" si="304"/>
        <v>3572.2377423603616</v>
      </c>
    </row>
    <row r="337" spans="1:19" ht="15" thickBot="1">
      <c r="A337" s="192"/>
      <c r="B337" s="195"/>
      <c r="C337" s="1011" t="s">
        <v>362</v>
      </c>
      <c r="D337" s="1012"/>
      <c r="E337" s="1013"/>
      <c r="F337" s="323"/>
      <c r="G337" s="652">
        <f>G336*2</f>
        <v>4334.3939180416</v>
      </c>
      <c r="H337" s="651">
        <f t="shared" ref="H337:I339" si="309">G337*5.3%+G337</f>
        <v>4564.1167956978052</v>
      </c>
      <c r="I337" s="651">
        <f t="shared" si="309"/>
        <v>4806.0149858697887</v>
      </c>
      <c r="J337" s="656">
        <f t="shared" si="308"/>
        <v>4810.579102665487</v>
      </c>
      <c r="K337" s="656">
        <f>I337*5.4%+I337</f>
        <v>5065.5397951067571</v>
      </c>
      <c r="L337" s="656">
        <f t="shared" si="307"/>
        <v>5572.0937746174332</v>
      </c>
      <c r="M337" s="656">
        <f t="shared" si="298"/>
        <v>5850.6984633483044</v>
      </c>
      <c r="N337" s="656">
        <f t="shared" si="299"/>
        <v>6160.7854819057648</v>
      </c>
      <c r="O337" s="687">
        <f t="shared" si="300"/>
        <v>6462.6639705191474</v>
      </c>
      <c r="P337" s="688">
        <f t="shared" si="301"/>
        <v>6747.02118522199</v>
      </c>
      <c r="Q337" s="898">
        <f t="shared" si="302"/>
        <v>6701.7825374283557</v>
      </c>
      <c r="R337" s="668">
        <f t="shared" si="303"/>
        <v>6922.9413611634918</v>
      </c>
      <c r="S337" s="668">
        <f t="shared" si="304"/>
        <v>7144.4754847207232</v>
      </c>
    </row>
    <row r="338" spans="1:19" ht="15" thickBot="1">
      <c r="A338" s="192"/>
      <c r="B338" s="195"/>
      <c r="C338" s="195" t="s">
        <v>253</v>
      </c>
      <c r="D338" s="198"/>
      <c r="E338" s="323">
        <v>286.30311999999998</v>
      </c>
      <c r="F338" s="323">
        <f t="shared" si="296"/>
        <v>306.05803528000001</v>
      </c>
      <c r="G338" s="657">
        <f t="shared" si="305"/>
        <v>325.64574953792004</v>
      </c>
      <c r="H338" s="656">
        <f t="shared" ref="H338:I338" si="310">G338*5.3%+G338</f>
        <v>342.90497426342978</v>
      </c>
      <c r="I338" s="656">
        <f t="shared" si="310"/>
        <v>361.07893789939158</v>
      </c>
      <c r="J338" s="656">
        <f t="shared" si="308"/>
        <v>361.42184287365501</v>
      </c>
      <c r="K338" s="656">
        <f>I338*5.4%+I338</f>
        <v>380.5772005459587</v>
      </c>
      <c r="L338" s="656">
        <f t="shared" si="307"/>
        <v>418.63492060055455</v>
      </c>
      <c r="M338" s="656">
        <f t="shared" si="298"/>
        <v>439.56666663058229</v>
      </c>
      <c r="N338" s="656">
        <f t="shared" si="299"/>
        <v>462.86369996200312</v>
      </c>
      <c r="O338" s="687">
        <f t="shared" si="300"/>
        <v>485.54402126014128</v>
      </c>
      <c r="P338" s="688">
        <f t="shared" si="301"/>
        <v>506.90795819558753</v>
      </c>
      <c r="Q338" s="898">
        <f t="shared" si="302"/>
        <v>503.50915004676654</v>
      </c>
      <c r="R338" s="668">
        <f t="shared" si="303"/>
        <v>520.12495199830983</v>
      </c>
      <c r="S338" s="668">
        <f t="shared" si="304"/>
        <v>536.7689504622557</v>
      </c>
    </row>
    <row r="339" spans="1:19" ht="15" thickBot="1">
      <c r="A339" s="192"/>
      <c r="B339" s="195"/>
      <c r="C339" s="195" t="s">
        <v>254</v>
      </c>
      <c r="D339" s="198"/>
      <c r="E339" s="323">
        <v>143.15679999999998</v>
      </c>
      <c r="F339" s="323">
        <f t="shared" si="296"/>
        <v>153.03461919999998</v>
      </c>
      <c r="G339" s="657">
        <f t="shared" si="305"/>
        <v>162.82883482879998</v>
      </c>
      <c r="H339" s="656">
        <f t="shared" si="309"/>
        <v>171.45876307472639</v>
      </c>
      <c r="I339" s="656">
        <f t="shared" si="309"/>
        <v>180.54607751768688</v>
      </c>
      <c r="J339" s="656">
        <f t="shared" si="308"/>
        <v>180.71753628076161</v>
      </c>
      <c r="K339" s="656">
        <f>I339*5.4%+I339</f>
        <v>190.29556570364198</v>
      </c>
      <c r="L339" s="656">
        <f t="shared" si="307"/>
        <v>209.32512227400619</v>
      </c>
      <c r="M339" s="656">
        <f t="shared" si="298"/>
        <v>219.79137838770652</v>
      </c>
      <c r="N339" s="656">
        <f t="shared" si="299"/>
        <v>231.44032144225497</v>
      </c>
      <c r="O339" s="687">
        <f t="shared" si="300"/>
        <v>242.78089719292547</v>
      </c>
      <c r="P339" s="688">
        <f t="shared" si="301"/>
        <v>253.46325666941419</v>
      </c>
      <c r="Q339" s="898">
        <f t="shared" si="302"/>
        <v>251.7637903890637</v>
      </c>
      <c r="R339" s="668">
        <f t="shared" si="303"/>
        <v>260.07199547190282</v>
      </c>
      <c r="S339" s="668">
        <f t="shared" si="304"/>
        <v>268.39429932700369</v>
      </c>
    </row>
    <row r="340" spans="1:19" ht="31" thickBot="1">
      <c r="A340" s="3"/>
      <c r="B340" s="14" t="s">
        <v>363</v>
      </c>
      <c r="C340" s="15"/>
      <c r="D340" s="16"/>
      <c r="E340" s="12" t="s">
        <v>299</v>
      </c>
      <c r="F340" s="12" t="s">
        <v>300</v>
      </c>
      <c r="G340" s="746" t="s">
        <v>301</v>
      </c>
      <c r="H340" s="692" t="s">
        <v>302</v>
      </c>
      <c r="I340" s="692" t="s">
        <v>303</v>
      </c>
      <c r="J340" s="692"/>
      <c r="K340" s="679" t="s">
        <v>304</v>
      </c>
      <c r="L340" s="679" t="s">
        <v>305</v>
      </c>
      <c r="M340" s="679" t="s">
        <v>306</v>
      </c>
      <c r="N340" s="702" t="s">
        <v>307</v>
      </c>
      <c r="O340" s="906" t="s">
        <v>308</v>
      </c>
      <c r="P340" s="920" t="s">
        <v>309</v>
      </c>
      <c r="Q340" s="941" t="s">
        <v>310</v>
      </c>
      <c r="R340" s="873" t="s">
        <v>1248</v>
      </c>
      <c r="S340" s="873" t="s">
        <v>1251</v>
      </c>
    </row>
    <row r="341" spans="1:19" ht="15" thickBot="1">
      <c r="A341" s="3"/>
      <c r="B341" s="211" t="s">
        <v>364</v>
      </c>
      <c r="C341" s="40" t="s">
        <v>258</v>
      </c>
      <c r="D341" s="41"/>
      <c r="E341" s="323">
        <v>1967.9867999999999</v>
      </c>
      <c r="F341" s="323">
        <f t="shared" ref="F341:F344" si="311">E341*106.9/100</f>
        <v>2103.7778892000001</v>
      </c>
      <c r="G341" s="657">
        <f>F341*106.4/100</f>
        <v>2238.4196741088003</v>
      </c>
      <c r="H341" s="656">
        <f>G341*30%+G341</f>
        <v>2909.9455763414403</v>
      </c>
      <c r="I341" s="656">
        <f>H341*25%+H341</f>
        <v>3637.4319704268005</v>
      </c>
      <c r="J341" s="656"/>
      <c r="K341" s="656">
        <f>I341*5.4%+I341</f>
        <v>3833.8532968298477</v>
      </c>
      <c r="L341" s="656">
        <f t="shared" ref="L341:L344" si="312">K341*10%+K341</f>
        <v>4217.2386265128325</v>
      </c>
      <c r="M341" s="656">
        <f t="shared" ref="M341:M344" si="313">L341*5%+L341</f>
        <v>4428.1005578384738</v>
      </c>
      <c r="N341" s="656">
        <f>M341*5.3%+M341</f>
        <v>4662.7898874039129</v>
      </c>
      <c r="O341" s="687">
        <f>N341*4.9%+N341</f>
        <v>4891.2665918867042</v>
      </c>
      <c r="P341" s="688">
        <f>O341*4.4%+O341</f>
        <v>5106.4823219297195</v>
      </c>
      <c r="Q341" s="898">
        <f>O341*3.7%+O341</f>
        <v>5072.2434557865126</v>
      </c>
      <c r="R341" s="668">
        <f>Q341*3.3%+Q341</f>
        <v>5239.6274898274678</v>
      </c>
      <c r="S341" s="668">
        <f>R341*3.2%+R341</f>
        <v>5407.2955695019464</v>
      </c>
    </row>
    <row r="342" spans="1:19" ht="15" thickBot="1">
      <c r="A342" s="3"/>
      <c r="B342" s="214" t="s">
        <v>259</v>
      </c>
      <c r="C342" s="44" t="s">
        <v>260</v>
      </c>
      <c r="D342" s="45"/>
      <c r="E342" s="323">
        <v>3935.9840800000002</v>
      </c>
      <c r="F342" s="323">
        <f t="shared" si="311"/>
        <v>4207.5669815199999</v>
      </c>
      <c r="G342" s="657">
        <f t="shared" ref="G342:G344" si="314">F342*106.4/100</f>
        <v>4476.8512683372801</v>
      </c>
      <c r="H342" s="656">
        <f>G342*30%+G342</f>
        <v>5819.9066488384642</v>
      </c>
      <c r="I342" s="656">
        <f>H342*25%+H342</f>
        <v>7274.88331104808</v>
      </c>
      <c r="J342" s="656"/>
      <c r="K342" s="656">
        <f>I342*5.4%+I342</f>
        <v>7667.7270098446761</v>
      </c>
      <c r="L342" s="656">
        <f t="shared" si="312"/>
        <v>8434.4997108291445</v>
      </c>
      <c r="M342" s="656">
        <f t="shared" si="313"/>
        <v>8856.224696370602</v>
      </c>
      <c r="N342" s="656">
        <f>M342*5.3%+M342</f>
        <v>9325.604605278244</v>
      </c>
      <c r="O342" s="687">
        <f>N342*4.9%+N342</f>
        <v>9782.5592309368785</v>
      </c>
      <c r="P342" s="688">
        <f>O342*4.4%+O342</f>
        <v>10212.991837098101</v>
      </c>
      <c r="Q342" s="898">
        <f>O342*3.7%+O342</f>
        <v>10144.513922481543</v>
      </c>
      <c r="R342" s="668">
        <f>Q342*3.3%+Q342</f>
        <v>10479.282881923435</v>
      </c>
      <c r="S342" s="668">
        <f>R342*3.2%+R342</f>
        <v>10814.619934144985</v>
      </c>
    </row>
    <row r="343" spans="1:19" ht="15" thickBot="1">
      <c r="A343" s="3"/>
      <c r="B343" s="211" t="s">
        <v>261</v>
      </c>
      <c r="C343" s="40" t="s">
        <v>262</v>
      </c>
      <c r="D343" s="41"/>
      <c r="E343" s="323">
        <v>2164.79072</v>
      </c>
      <c r="F343" s="323">
        <f t="shared" si="311"/>
        <v>2314.16127968</v>
      </c>
      <c r="G343" s="657">
        <f t="shared" si="314"/>
        <v>2462.2676015795205</v>
      </c>
      <c r="H343" s="656">
        <f>G343*5.3%+G343</f>
        <v>2592.7677844632349</v>
      </c>
      <c r="I343" s="656">
        <f t="shared" ref="I343:I344" si="315">H343*5.3%+H343</f>
        <v>2730.1844770397865</v>
      </c>
      <c r="J343" s="656"/>
      <c r="K343" s="656">
        <f>I343*5.4%+I343</f>
        <v>2877.6144387999352</v>
      </c>
      <c r="L343" s="656">
        <f t="shared" si="312"/>
        <v>3165.3758826799285</v>
      </c>
      <c r="M343" s="656">
        <f t="shared" si="313"/>
        <v>3323.6446768139249</v>
      </c>
      <c r="N343" s="656">
        <f>M343*5.3%+M343</f>
        <v>3499.797844685063</v>
      </c>
      <c r="O343" s="687">
        <f>N343*4.9%+N343</f>
        <v>3671.2879390746311</v>
      </c>
      <c r="P343" s="688">
        <f>O343*4.4%+O343</f>
        <v>3832.8246083939148</v>
      </c>
      <c r="Q343" s="898">
        <f>O343*3.7%+O343</f>
        <v>3807.1255928203927</v>
      </c>
      <c r="R343" s="668">
        <f>Q343*3.3%+Q343</f>
        <v>3932.7607373834658</v>
      </c>
      <c r="S343" s="668">
        <f>R343*3.2%+R343</f>
        <v>4058.6090809797365</v>
      </c>
    </row>
    <row r="344" spans="1:19" ht="15" thickBot="1">
      <c r="A344" s="3"/>
      <c r="B344" s="214" t="s">
        <v>263</v>
      </c>
      <c r="C344" s="44" t="s">
        <v>264</v>
      </c>
      <c r="D344" s="45"/>
      <c r="E344" s="323">
        <v>4318.8394399999997</v>
      </c>
      <c r="F344" s="323">
        <f t="shared" si="311"/>
        <v>4616.8393613600001</v>
      </c>
      <c r="G344" s="657">
        <f t="shared" si="314"/>
        <v>4912.3170804870406</v>
      </c>
      <c r="H344" s="656">
        <f>G344*5.3%+G344</f>
        <v>5172.6698857528536</v>
      </c>
      <c r="I344" s="656">
        <f t="shared" si="315"/>
        <v>5446.821389697755</v>
      </c>
      <c r="J344" s="656"/>
      <c r="K344" s="656">
        <f>I344*5.4%+I344</f>
        <v>5740.9497447414342</v>
      </c>
      <c r="L344" s="656">
        <f t="shared" si="312"/>
        <v>6315.044719215578</v>
      </c>
      <c r="M344" s="656">
        <f t="shared" si="313"/>
        <v>6630.7969551763572</v>
      </c>
      <c r="N344" s="656">
        <f>M344*5.3%+M344</f>
        <v>6982.2291938007038</v>
      </c>
      <c r="O344" s="687">
        <f>N344*4.9%+N344</f>
        <v>7324.3584242969382</v>
      </c>
      <c r="P344" s="688">
        <f>O344*4.4%+O344</f>
        <v>7646.6301949660037</v>
      </c>
      <c r="Q344" s="898">
        <f>O344*3.7%+O344</f>
        <v>7595.3596859959252</v>
      </c>
      <c r="R344" s="668">
        <f>Q344*3.3%+Q344</f>
        <v>7846.0065556337904</v>
      </c>
      <c r="S344" s="668">
        <f>R344*3.2%+R344</f>
        <v>8097.0787654140713</v>
      </c>
    </row>
    <row r="345" spans="1:19" ht="16" thickBot="1">
      <c r="A345" s="3"/>
      <c r="B345" s="218" t="s">
        <v>265</v>
      </c>
      <c r="C345" s="21" t="s">
        <v>266</v>
      </c>
      <c r="D345" s="48"/>
      <c r="E345" s="390" t="s">
        <v>267</v>
      </c>
      <c r="F345" s="390" t="s">
        <v>267</v>
      </c>
      <c r="G345" s="665" t="s">
        <v>267</v>
      </c>
      <c r="H345" s="712" t="s">
        <v>267</v>
      </c>
      <c r="I345" s="712" t="s">
        <v>267</v>
      </c>
      <c r="J345" s="712" t="s">
        <v>267</v>
      </c>
      <c r="K345" s="712" t="s">
        <v>267</v>
      </c>
      <c r="L345" s="712" t="s">
        <v>267</v>
      </c>
      <c r="M345" s="712" t="s">
        <v>327</v>
      </c>
      <c r="N345" s="712" t="s">
        <v>267</v>
      </c>
      <c r="O345" s="684" t="s">
        <v>267</v>
      </c>
      <c r="P345" s="688" t="str">
        <f>O345</f>
        <v>cost plus 10%</v>
      </c>
      <c r="Q345" s="898" t="str">
        <f>O345</f>
        <v>cost plus 10%</v>
      </c>
      <c r="R345" s="668" t="str">
        <f t="shared" ref="R345:S349" si="316">Q345</f>
        <v>cost plus 10%</v>
      </c>
      <c r="S345" s="668" t="str">
        <f t="shared" si="316"/>
        <v>cost plus 10%</v>
      </c>
    </row>
    <row r="346" spans="1:19" ht="16" thickBot="1">
      <c r="A346" s="3"/>
      <c r="B346" s="211" t="s">
        <v>268</v>
      </c>
      <c r="C346" s="40" t="s">
        <v>269</v>
      </c>
      <c r="D346" s="41"/>
      <c r="E346" s="391" t="s">
        <v>267</v>
      </c>
      <c r="F346" s="639" t="s">
        <v>267</v>
      </c>
      <c r="G346" s="712" t="s">
        <v>267</v>
      </c>
      <c r="H346" s="712" t="s">
        <v>267</v>
      </c>
      <c r="I346" s="712" t="s">
        <v>267</v>
      </c>
      <c r="J346" s="712" t="s">
        <v>267</v>
      </c>
      <c r="K346" s="712" t="s">
        <v>267</v>
      </c>
      <c r="L346" s="712" t="s">
        <v>267</v>
      </c>
      <c r="M346" s="712" t="s">
        <v>327</v>
      </c>
      <c r="N346" s="712" t="s">
        <v>267</v>
      </c>
      <c r="O346" s="684" t="s">
        <v>267</v>
      </c>
      <c r="P346" s="688" t="str">
        <f t="shared" ref="P346:P349" si="317">O346</f>
        <v>cost plus 10%</v>
      </c>
      <c r="Q346" s="898" t="str">
        <f>O346</f>
        <v>cost plus 10%</v>
      </c>
      <c r="R346" s="668" t="str">
        <f t="shared" si="316"/>
        <v>cost plus 10%</v>
      </c>
      <c r="S346" s="668" t="str">
        <f t="shared" si="316"/>
        <v>cost plus 10%</v>
      </c>
    </row>
    <row r="347" spans="1:19" ht="16" thickBot="1">
      <c r="A347" s="3"/>
      <c r="B347" s="222" t="s">
        <v>270</v>
      </c>
      <c r="C347" s="33" t="s">
        <v>271</v>
      </c>
      <c r="D347" s="34"/>
      <c r="E347" s="392" t="s">
        <v>267</v>
      </c>
      <c r="F347" s="640" t="s">
        <v>267</v>
      </c>
      <c r="G347" s="712" t="s">
        <v>267</v>
      </c>
      <c r="H347" s="712" t="s">
        <v>267</v>
      </c>
      <c r="I347" s="712" t="s">
        <v>267</v>
      </c>
      <c r="J347" s="712" t="s">
        <v>267</v>
      </c>
      <c r="K347" s="712" t="s">
        <v>267</v>
      </c>
      <c r="L347" s="712" t="s">
        <v>267</v>
      </c>
      <c r="M347" s="712" t="s">
        <v>327</v>
      </c>
      <c r="N347" s="712" t="s">
        <v>267</v>
      </c>
      <c r="O347" s="684" t="s">
        <v>267</v>
      </c>
      <c r="P347" s="688" t="str">
        <f t="shared" si="317"/>
        <v>cost plus 10%</v>
      </c>
      <c r="Q347" s="898" t="str">
        <f>O347</f>
        <v>cost plus 10%</v>
      </c>
      <c r="R347" s="668" t="str">
        <f t="shared" si="316"/>
        <v>cost plus 10%</v>
      </c>
      <c r="S347" s="668" t="str">
        <f t="shared" si="316"/>
        <v>cost plus 10%</v>
      </c>
    </row>
    <row r="348" spans="1:19" ht="16" thickBot="1">
      <c r="A348" s="3"/>
      <c r="B348" s="222"/>
      <c r="C348" s="33" t="s">
        <v>272</v>
      </c>
      <c r="D348" s="34"/>
      <c r="E348" s="392" t="s">
        <v>267</v>
      </c>
      <c r="F348" s="640" t="s">
        <v>267</v>
      </c>
      <c r="G348" s="712" t="s">
        <v>267</v>
      </c>
      <c r="H348" s="712" t="s">
        <v>267</v>
      </c>
      <c r="I348" s="712" t="s">
        <v>267</v>
      </c>
      <c r="J348" s="712" t="s">
        <v>267</v>
      </c>
      <c r="K348" s="712" t="s">
        <v>267</v>
      </c>
      <c r="L348" s="712" t="s">
        <v>267</v>
      </c>
      <c r="M348" s="712" t="s">
        <v>327</v>
      </c>
      <c r="N348" s="712" t="s">
        <v>267</v>
      </c>
      <c r="O348" s="684" t="s">
        <v>267</v>
      </c>
      <c r="P348" s="688" t="str">
        <f t="shared" si="317"/>
        <v>cost plus 10%</v>
      </c>
      <c r="Q348" s="898" t="str">
        <f>O348</f>
        <v>cost plus 10%</v>
      </c>
      <c r="R348" s="668" t="str">
        <f t="shared" si="316"/>
        <v>cost plus 10%</v>
      </c>
      <c r="S348" s="668" t="str">
        <f t="shared" si="316"/>
        <v>cost plus 10%</v>
      </c>
    </row>
    <row r="349" spans="1:19" ht="16" thickBot="1">
      <c r="A349" s="3"/>
      <c r="B349" s="222"/>
      <c r="C349" s="33" t="s">
        <v>273</v>
      </c>
      <c r="D349" s="34"/>
      <c r="E349" s="392" t="s">
        <v>267</v>
      </c>
      <c r="F349" s="640" t="s">
        <v>267</v>
      </c>
      <c r="G349" s="712" t="s">
        <v>267</v>
      </c>
      <c r="H349" s="712" t="s">
        <v>267</v>
      </c>
      <c r="I349" s="712" t="s">
        <v>267</v>
      </c>
      <c r="J349" s="712" t="s">
        <v>267</v>
      </c>
      <c r="K349" s="712" t="s">
        <v>267</v>
      </c>
      <c r="L349" s="712" t="s">
        <v>267</v>
      </c>
      <c r="M349" s="712" t="s">
        <v>327</v>
      </c>
      <c r="N349" s="712" t="s">
        <v>267</v>
      </c>
      <c r="O349" s="684" t="s">
        <v>267</v>
      </c>
      <c r="P349" s="688" t="str">
        <f t="shared" si="317"/>
        <v>cost plus 10%</v>
      </c>
      <c r="Q349" s="898" t="str">
        <f>O349</f>
        <v>cost plus 10%</v>
      </c>
      <c r="R349" s="668" t="str">
        <f t="shared" si="316"/>
        <v>cost plus 10%</v>
      </c>
      <c r="S349" s="668" t="str">
        <f t="shared" si="316"/>
        <v>cost plus 10%</v>
      </c>
    </row>
    <row r="350" spans="1:19" ht="15" thickBot="1">
      <c r="A350" s="3"/>
      <c r="B350" s="214"/>
      <c r="C350" s="37" t="s">
        <v>274</v>
      </c>
      <c r="D350" s="38"/>
      <c r="E350" s="632"/>
      <c r="G350" s="744"/>
      <c r="H350" s="744"/>
      <c r="I350" s="744"/>
      <c r="J350" s="744"/>
      <c r="K350" s="744"/>
      <c r="L350" s="744"/>
      <c r="M350" s="744"/>
      <c r="N350" s="744"/>
      <c r="O350" s="705"/>
      <c r="P350" s="688">
        <f t="shared" ref="P350" si="318">O350*4.7%+O350</f>
        <v>0</v>
      </c>
      <c r="Q350" s="898">
        <f>O350*4.7%+O350</f>
        <v>0</v>
      </c>
      <c r="R350" s="668">
        <f>Q350*4.7%+Q350</f>
        <v>0</v>
      </c>
      <c r="S350" s="668">
        <f>R350*4.7%+R350</f>
        <v>0</v>
      </c>
    </row>
    <row r="351" spans="1:19" ht="15" thickBot="1">
      <c r="A351" s="3"/>
      <c r="B351" s="1021" t="s">
        <v>365</v>
      </c>
      <c r="C351" s="1017" t="s">
        <v>366</v>
      </c>
      <c r="D351" s="1018"/>
      <c r="E351" s="634"/>
      <c r="F351" s="748"/>
      <c r="G351" s="744"/>
      <c r="H351" s="744">
        <v>2500</v>
      </c>
      <c r="I351" s="744">
        <f t="shared" ref="I351:I353" si="319">H351*5.3%+H351</f>
        <v>2632.5</v>
      </c>
      <c r="J351" s="744">
        <f>I351-I351*0.08</f>
        <v>2421.9</v>
      </c>
      <c r="K351" s="744">
        <f t="shared" ref="K351:K361" si="320">I351*5.4%+I351</f>
        <v>2774.6550000000002</v>
      </c>
      <c r="L351" s="744">
        <f t="shared" ref="L351:L361" si="321">K351*10%+K351</f>
        <v>3052.1205</v>
      </c>
      <c r="M351" s="744">
        <f t="shared" ref="M351:M361" si="322">L351*5%+L351</f>
        <v>3204.726525</v>
      </c>
      <c r="N351" s="744">
        <f t="shared" ref="N351:N361" si="323">M351*5.3%+M351</f>
        <v>3374.5770308249998</v>
      </c>
      <c r="O351" s="705">
        <f t="shared" ref="O351:O360" si="324">N351*4.9%+N351</f>
        <v>3539.9313053354249</v>
      </c>
      <c r="P351" s="688">
        <f t="shared" ref="P351:P361" si="325">O351*4.4%+O351</f>
        <v>3695.6882827701838</v>
      </c>
      <c r="Q351" s="898">
        <f t="shared" ref="Q351:Q361" si="326">O351*3.7%+O351</f>
        <v>3670.9087636328359</v>
      </c>
      <c r="R351" s="668">
        <f t="shared" ref="R351:R361" si="327">Q351*3.3%+Q351</f>
        <v>3792.0487528327194</v>
      </c>
      <c r="S351" s="668">
        <f t="shared" ref="S351:S361" si="328">R351*3.2%+R351</f>
        <v>3913.3943129233662</v>
      </c>
    </row>
    <row r="352" spans="1:19" ht="15" customHeight="1" thickBot="1">
      <c r="A352" s="3"/>
      <c r="B352" s="1022"/>
      <c r="C352" s="635" t="s">
        <v>367</v>
      </c>
      <c r="D352" s="636"/>
      <c r="E352" s="634"/>
      <c r="F352" s="748"/>
      <c r="G352" s="744"/>
      <c r="H352" s="744">
        <v>5000</v>
      </c>
      <c r="I352" s="744">
        <f t="shared" ref="I352" si="329">H352*5.3%+H352</f>
        <v>5265</v>
      </c>
      <c r="J352" s="744">
        <f t="shared" ref="J352:J361" si="330">I352-I352*0.08</f>
        <v>4843.8</v>
      </c>
      <c r="K352" s="744">
        <f t="shared" si="320"/>
        <v>5549.31</v>
      </c>
      <c r="L352" s="744">
        <f t="shared" si="321"/>
        <v>6104.241</v>
      </c>
      <c r="M352" s="744">
        <f t="shared" si="322"/>
        <v>6409.4530500000001</v>
      </c>
      <c r="N352" s="744">
        <f t="shared" si="323"/>
        <v>6749.1540616499997</v>
      </c>
      <c r="O352" s="705">
        <f t="shared" si="324"/>
        <v>7079.8626106708498</v>
      </c>
      <c r="P352" s="688">
        <f t="shared" si="325"/>
        <v>7391.3765655403677</v>
      </c>
      <c r="Q352" s="898">
        <f t="shared" si="326"/>
        <v>7341.8175272656717</v>
      </c>
      <c r="R352" s="668">
        <f t="shared" si="327"/>
        <v>7584.0975056654388</v>
      </c>
      <c r="S352" s="668">
        <f t="shared" si="328"/>
        <v>7826.7886258467324</v>
      </c>
    </row>
    <row r="353" spans="1:19" ht="15" thickBot="1">
      <c r="A353" s="3"/>
      <c r="B353" s="43" t="s">
        <v>368</v>
      </c>
      <c r="C353" s="1019"/>
      <c r="D353" s="1020"/>
      <c r="E353" s="634"/>
      <c r="F353" s="748"/>
      <c r="G353" s="744"/>
      <c r="H353" s="744">
        <v>3000</v>
      </c>
      <c r="I353" s="744">
        <f t="shared" si="319"/>
        <v>3159</v>
      </c>
      <c r="J353" s="744">
        <f t="shared" si="330"/>
        <v>2906.28</v>
      </c>
      <c r="K353" s="744">
        <f t="shared" si="320"/>
        <v>3329.5860000000002</v>
      </c>
      <c r="L353" s="744">
        <f t="shared" si="321"/>
        <v>3662.5446000000002</v>
      </c>
      <c r="M353" s="744">
        <f t="shared" si="322"/>
        <v>3845.6718300000002</v>
      </c>
      <c r="N353" s="744">
        <f t="shared" si="323"/>
        <v>4049.4924369900004</v>
      </c>
      <c r="O353" s="705">
        <f t="shared" si="324"/>
        <v>4247.9175664025106</v>
      </c>
      <c r="P353" s="688">
        <f t="shared" si="325"/>
        <v>4434.8259393242215</v>
      </c>
      <c r="Q353" s="898">
        <f t="shared" si="326"/>
        <v>4405.0905163594034</v>
      </c>
      <c r="R353" s="668">
        <f t="shared" si="327"/>
        <v>4550.4585033992635</v>
      </c>
      <c r="S353" s="668">
        <f t="shared" si="328"/>
        <v>4696.0731755080396</v>
      </c>
    </row>
    <row r="354" spans="1:19" ht="15" thickBot="1">
      <c r="A354" s="3"/>
      <c r="B354" s="218" t="s">
        <v>369</v>
      </c>
      <c r="C354" s="74"/>
      <c r="D354" s="75"/>
      <c r="E354" s="633">
        <v>78.715279999999993</v>
      </c>
      <c r="F354" s="641">
        <f t="shared" ref="F354:F357" si="331">E354*106.9/100</f>
        <v>84.14663431999999</v>
      </c>
      <c r="G354" s="656">
        <f>F354*106.4/100</f>
        <v>89.532018916479998</v>
      </c>
      <c r="H354" s="656">
        <v>150</v>
      </c>
      <c r="I354" s="656">
        <f t="shared" ref="I354" si="332">H354*5.3%+H354</f>
        <v>157.94999999999999</v>
      </c>
      <c r="J354" s="744">
        <f t="shared" si="330"/>
        <v>145.31399999999999</v>
      </c>
      <c r="K354" s="656">
        <f t="shared" si="320"/>
        <v>166.47929999999999</v>
      </c>
      <c r="L354" s="656">
        <f t="shared" si="321"/>
        <v>183.12723</v>
      </c>
      <c r="M354" s="656">
        <f t="shared" si="322"/>
        <v>192.2835915</v>
      </c>
      <c r="N354" s="744">
        <f t="shared" si="323"/>
        <v>202.47462184950001</v>
      </c>
      <c r="O354" s="705">
        <f t="shared" si="324"/>
        <v>212.39587832012552</v>
      </c>
      <c r="P354" s="688">
        <f t="shared" si="325"/>
        <v>221.74129696621105</v>
      </c>
      <c r="Q354" s="898">
        <f t="shared" si="326"/>
        <v>220.25452581797018</v>
      </c>
      <c r="R354" s="668">
        <f t="shared" si="327"/>
        <v>227.5229251699632</v>
      </c>
      <c r="S354" s="668">
        <f t="shared" si="328"/>
        <v>234.80365877540203</v>
      </c>
    </row>
    <row r="355" spans="1:19" ht="15.75" customHeight="1" thickBot="1">
      <c r="A355" s="3"/>
      <c r="B355" s="1014" t="s">
        <v>370</v>
      </c>
      <c r="C355" s="1015"/>
      <c r="D355" s="1016"/>
      <c r="E355" s="402"/>
      <c r="F355" s="622"/>
      <c r="G355" s="656"/>
      <c r="H355" s="656">
        <v>150</v>
      </c>
      <c r="I355" s="656">
        <f t="shared" ref="I355" si="333">H355*5.3%+H355</f>
        <v>157.94999999999999</v>
      </c>
      <c r="J355" s="744">
        <f t="shared" si="330"/>
        <v>145.31399999999999</v>
      </c>
      <c r="K355" s="656">
        <f t="shared" si="320"/>
        <v>166.47929999999999</v>
      </c>
      <c r="L355" s="656">
        <f t="shared" si="321"/>
        <v>183.12723</v>
      </c>
      <c r="M355" s="656">
        <f t="shared" si="322"/>
        <v>192.2835915</v>
      </c>
      <c r="N355" s="744">
        <f t="shared" si="323"/>
        <v>202.47462184950001</v>
      </c>
      <c r="O355" s="705">
        <f t="shared" si="324"/>
        <v>212.39587832012552</v>
      </c>
      <c r="P355" s="688">
        <f t="shared" si="325"/>
        <v>221.74129696621105</v>
      </c>
      <c r="Q355" s="898">
        <f t="shared" si="326"/>
        <v>220.25452581797018</v>
      </c>
      <c r="R355" s="668">
        <f t="shared" si="327"/>
        <v>227.5229251699632</v>
      </c>
      <c r="S355" s="668">
        <f t="shared" si="328"/>
        <v>234.80365877540203</v>
      </c>
    </row>
    <row r="356" spans="1:19" ht="15" thickBot="1">
      <c r="A356" s="3"/>
      <c r="B356" s="218" t="s">
        <v>276</v>
      </c>
      <c r="C356" s="59"/>
      <c r="D356" s="614"/>
      <c r="E356" s="323">
        <v>626.17999999999995</v>
      </c>
      <c r="F356" s="323">
        <f t="shared" si="331"/>
        <v>669.38641999999993</v>
      </c>
      <c r="G356" s="657">
        <f t="shared" ref="G356:G357" si="334">F356*106.4/100</f>
        <v>712.22715087999995</v>
      </c>
      <c r="H356" s="656">
        <f t="shared" ref="H356:I356" si="335">G356*5.3%+G356</f>
        <v>749.97518987664</v>
      </c>
      <c r="I356" s="656">
        <f t="shared" si="335"/>
        <v>789.72387494010195</v>
      </c>
      <c r="J356" s="744">
        <f t="shared" si="330"/>
        <v>726.54596494489374</v>
      </c>
      <c r="K356" s="656">
        <f t="shared" si="320"/>
        <v>832.36896418686752</v>
      </c>
      <c r="L356" s="656">
        <f t="shared" si="321"/>
        <v>915.60586060555431</v>
      </c>
      <c r="M356" s="656">
        <f t="shared" si="322"/>
        <v>961.38615363583199</v>
      </c>
      <c r="N356" s="744">
        <f t="shared" si="323"/>
        <v>1012.3396197785311</v>
      </c>
      <c r="O356" s="705">
        <f t="shared" si="324"/>
        <v>1061.9442611476791</v>
      </c>
      <c r="P356" s="688">
        <f t="shared" si="325"/>
        <v>1108.6698086381768</v>
      </c>
      <c r="Q356" s="898">
        <f t="shared" si="326"/>
        <v>1101.2361988101432</v>
      </c>
      <c r="R356" s="668">
        <f t="shared" si="327"/>
        <v>1137.576993370878</v>
      </c>
      <c r="S356" s="668">
        <f t="shared" si="328"/>
        <v>1173.9794571587461</v>
      </c>
    </row>
    <row r="357" spans="1:19" ht="15" thickBot="1">
      <c r="A357" s="3"/>
      <c r="B357" s="610" t="s">
        <v>277</v>
      </c>
      <c r="C357" s="615"/>
      <c r="D357" s="614"/>
      <c r="E357" s="611">
        <v>178.90407999999999</v>
      </c>
      <c r="F357" s="611">
        <f t="shared" si="331"/>
        <v>191.24846152000001</v>
      </c>
      <c r="G357" s="747">
        <f t="shared" si="334"/>
        <v>203.48836305728</v>
      </c>
      <c r="H357" s="656">
        <f t="shared" ref="H357:I357" si="336">G357*5.3%+G357</f>
        <v>214.27324629931584</v>
      </c>
      <c r="I357" s="656">
        <f t="shared" si="336"/>
        <v>225.62972835317959</v>
      </c>
      <c r="J357" s="744">
        <f t="shared" si="330"/>
        <v>207.57935008492521</v>
      </c>
      <c r="K357" s="656">
        <f t="shared" si="320"/>
        <v>237.81373368425128</v>
      </c>
      <c r="L357" s="656">
        <f t="shared" si="321"/>
        <v>261.59510705267638</v>
      </c>
      <c r="M357" s="656">
        <f t="shared" si="322"/>
        <v>274.67486240531019</v>
      </c>
      <c r="N357" s="744">
        <f t="shared" si="323"/>
        <v>289.23263011279164</v>
      </c>
      <c r="O357" s="705">
        <f t="shared" si="324"/>
        <v>303.40502898831841</v>
      </c>
      <c r="P357" s="688">
        <f t="shared" si="325"/>
        <v>316.75485026380443</v>
      </c>
      <c r="Q357" s="898">
        <f t="shared" si="326"/>
        <v>314.63101506088617</v>
      </c>
      <c r="R357" s="668">
        <f t="shared" si="327"/>
        <v>325.01383855789544</v>
      </c>
      <c r="S357" s="668">
        <f t="shared" si="328"/>
        <v>335.41428139174809</v>
      </c>
    </row>
    <row r="358" spans="1:19" ht="15" thickBot="1">
      <c r="A358" s="3"/>
      <c r="B358" s="218" t="s">
        <v>371</v>
      </c>
      <c r="C358" s="43"/>
      <c r="D358" s="612"/>
      <c r="E358" s="323"/>
      <c r="F358" s="323"/>
      <c r="G358" s="657">
        <v>0</v>
      </c>
      <c r="H358" s="656">
        <f t="shared" ref="H358:I358" si="337">G358*5.3%+G358</f>
        <v>0</v>
      </c>
      <c r="I358" s="656">
        <f t="shared" si="337"/>
        <v>0</v>
      </c>
      <c r="J358" s="744">
        <f t="shared" si="330"/>
        <v>0</v>
      </c>
      <c r="K358" s="656">
        <f t="shared" si="320"/>
        <v>0</v>
      </c>
      <c r="L358" s="656">
        <f t="shared" si="321"/>
        <v>0</v>
      </c>
      <c r="M358" s="656">
        <f t="shared" si="322"/>
        <v>0</v>
      </c>
      <c r="N358" s="744">
        <f t="shared" si="323"/>
        <v>0</v>
      </c>
      <c r="O358" s="705">
        <f t="shared" si="324"/>
        <v>0</v>
      </c>
      <c r="P358" s="688">
        <f t="shared" si="325"/>
        <v>0</v>
      </c>
      <c r="Q358" s="898">
        <f t="shared" si="326"/>
        <v>0</v>
      </c>
      <c r="R358" s="668">
        <f t="shared" si="327"/>
        <v>0</v>
      </c>
      <c r="S358" s="668">
        <f t="shared" si="328"/>
        <v>0</v>
      </c>
    </row>
    <row r="359" spans="1:19" ht="15" thickBot="1">
      <c r="A359" s="3"/>
      <c r="B359" s="229" t="s">
        <v>372</v>
      </c>
      <c r="C359" s="43"/>
      <c r="D359" s="612"/>
      <c r="E359" s="323"/>
      <c r="F359" s="323"/>
      <c r="G359" s="657">
        <v>0</v>
      </c>
      <c r="H359" s="656">
        <f t="shared" ref="H359:I359" si="338">G359*5.3%+G359</f>
        <v>0</v>
      </c>
      <c r="I359" s="656">
        <f t="shared" si="338"/>
        <v>0</v>
      </c>
      <c r="J359" s="744">
        <f t="shared" si="330"/>
        <v>0</v>
      </c>
      <c r="K359" s="656">
        <f t="shared" si="320"/>
        <v>0</v>
      </c>
      <c r="L359" s="656">
        <f t="shared" si="321"/>
        <v>0</v>
      </c>
      <c r="M359" s="656">
        <f t="shared" si="322"/>
        <v>0</v>
      </c>
      <c r="N359" s="744">
        <f t="shared" si="323"/>
        <v>0</v>
      </c>
      <c r="O359" s="705">
        <f t="shared" si="324"/>
        <v>0</v>
      </c>
      <c r="P359" s="688">
        <f t="shared" si="325"/>
        <v>0</v>
      </c>
      <c r="Q359" s="898">
        <f t="shared" si="326"/>
        <v>0</v>
      </c>
      <c r="R359" s="668">
        <f t="shared" si="327"/>
        <v>0</v>
      </c>
      <c r="S359" s="668">
        <f t="shared" si="328"/>
        <v>0</v>
      </c>
    </row>
    <row r="360" spans="1:19" ht="15" thickBot="1">
      <c r="A360" s="3"/>
      <c r="B360" s="229" t="s">
        <v>373</v>
      </c>
      <c r="C360" s="74"/>
      <c r="D360" s="612"/>
      <c r="E360" s="616"/>
      <c r="F360" s="616"/>
      <c r="G360" s="681">
        <v>0</v>
      </c>
      <c r="H360" s="656">
        <f t="shared" ref="H360:I360" si="339">G360*5.3%+G360</f>
        <v>0</v>
      </c>
      <c r="I360" s="656">
        <f t="shared" si="339"/>
        <v>0</v>
      </c>
      <c r="J360" s="744">
        <f t="shared" si="330"/>
        <v>0</v>
      </c>
      <c r="K360" s="656">
        <f t="shared" si="320"/>
        <v>0</v>
      </c>
      <c r="L360" s="656">
        <f t="shared" si="321"/>
        <v>0</v>
      </c>
      <c r="M360" s="656">
        <f t="shared" si="322"/>
        <v>0</v>
      </c>
      <c r="N360" s="744">
        <f t="shared" si="323"/>
        <v>0</v>
      </c>
      <c r="O360" s="705">
        <f t="shared" si="324"/>
        <v>0</v>
      </c>
      <c r="P360" s="688">
        <f t="shared" si="325"/>
        <v>0</v>
      </c>
      <c r="Q360" s="898">
        <f t="shared" si="326"/>
        <v>0</v>
      </c>
      <c r="R360" s="668">
        <f t="shared" si="327"/>
        <v>0</v>
      </c>
      <c r="S360" s="668">
        <f t="shared" si="328"/>
        <v>0</v>
      </c>
    </row>
    <row r="361" spans="1:19" ht="15" thickBot="1">
      <c r="A361" s="3"/>
      <c r="B361" s="229" t="s">
        <v>374</v>
      </c>
      <c r="C361" s="74"/>
      <c r="D361" s="612"/>
      <c r="E361" s="616"/>
      <c r="F361" s="616"/>
      <c r="G361" s="681">
        <v>0</v>
      </c>
      <c r="H361" s="656">
        <f t="shared" ref="H361:I361" si="340">G361*5.3%+G361</f>
        <v>0</v>
      </c>
      <c r="I361" s="656">
        <f t="shared" si="340"/>
        <v>0</v>
      </c>
      <c r="J361" s="744">
        <f t="shared" si="330"/>
        <v>0</v>
      </c>
      <c r="K361" s="656">
        <f t="shared" si="320"/>
        <v>0</v>
      </c>
      <c r="L361" s="656">
        <f t="shared" si="321"/>
        <v>0</v>
      </c>
      <c r="M361" s="656">
        <f t="shared" si="322"/>
        <v>0</v>
      </c>
      <c r="N361" s="744">
        <f t="shared" si="323"/>
        <v>0</v>
      </c>
      <c r="O361" s="705">
        <v>200</v>
      </c>
      <c r="P361" s="688">
        <f t="shared" si="325"/>
        <v>208.8</v>
      </c>
      <c r="Q361" s="898">
        <f t="shared" si="326"/>
        <v>207.4</v>
      </c>
      <c r="R361" s="668">
        <f t="shared" si="327"/>
        <v>214.24420000000001</v>
      </c>
      <c r="S361" s="668">
        <f t="shared" si="328"/>
        <v>221.10001440000002</v>
      </c>
    </row>
    <row r="362" spans="1:19" ht="16" thickBot="1">
      <c r="A362" s="3"/>
      <c r="B362" s="229" t="s">
        <v>325</v>
      </c>
      <c r="C362" s="74"/>
      <c r="D362" s="612"/>
      <c r="E362" s="613" t="s">
        <v>65</v>
      </c>
      <c r="F362" s="613" t="s">
        <v>65</v>
      </c>
      <c r="G362" s="682" t="s">
        <v>65</v>
      </c>
      <c r="H362" s="713" t="s">
        <v>65</v>
      </c>
      <c r="I362" s="713" t="s">
        <v>65</v>
      </c>
      <c r="J362" s="713" t="s">
        <v>65</v>
      </c>
      <c r="K362" s="713" t="s">
        <v>65</v>
      </c>
      <c r="L362" s="713" t="s">
        <v>65</v>
      </c>
      <c r="M362" s="713" t="s">
        <v>65</v>
      </c>
      <c r="N362" s="713" t="s">
        <v>65</v>
      </c>
      <c r="O362" s="896" t="s">
        <v>65</v>
      </c>
      <c r="P362" s="688" t="str">
        <f>O362</f>
        <v>Prime plus 1%</v>
      </c>
      <c r="Q362" s="898" t="str">
        <f>O362</f>
        <v>Prime plus 1%</v>
      </c>
      <c r="R362" s="668" t="str">
        <f>Q362</f>
        <v>Prime plus 1%</v>
      </c>
      <c r="S362" s="668" t="str">
        <f>R362</f>
        <v>Prime plus 1%</v>
      </c>
    </row>
    <row r="363" spans="1:19" s="149" customFormat="1" ht="15" thickBot="1">
      <c r="A363" s="153"/>
      <c r="B363" s="178" t="s">
        <v>278</v>
      </c>
      <c r="C363" s="958" t="s">
        <v>279</v>
      </c>
      <c r="D363" s="959"/>
      <c r="E363" s="323">
        <v>261.04632000000004</v>
      </c>
      <c r="F363" s="323">
        <f t="shared" ref="F363:F364" si="341">E363*106.9/100</f>
        <v>279.05851608000006</v>
      </c>
      <c r="G363" s="657">
        <f>F363*106.4/100</f>
        <v>296.91826110912007</v>
      </c>
      <c r="H363" s="656">
        <f t="shared" ref="H363:I363" si="342">G363*5.3%+G363</f>
        <v>312.65492894790344</v>
      </c>
      <c r="I363" s="656">
        <f t="shared" si="342"/>
        <v>329.22564018214234</v>
      </c>
      <c r="J363" s="656">
        <f>I363-I363*0.08</f>
        <v>302.88758896757093</v>
      </c>
      <c r="K363" s="656">
        <f>I363*5.4%+I363</f>
        <v>347.00382475197802</v>
      </c>
      <c r="L363" s="656">
        <f>K363*10%+K363</f>
        <v>381.7042072271758</v>
      </c>
      <c r="M363" s="656">
        <f t="shared" ref="M363:M364" si="343">L363*5%+L363</f>
        <v>400.7894175885346</v>
      </c>
      <c r="N363" s="744">
        <f>M363*5.3%+M363</f>
        <v>422.03125672072696</v>
      </c>
      <c r="O363" s="705">
        <f>N363*4.9%+N363</f>
        <v>442.71078830004257</v>
      </c>
      <c r="P363" s="688">
        <f>O363*4.4%+O363</f>
        <v>462.19006298524442</v>
      </c>
      <c r="Q363" s="938">
        <f>O363*3.7%+O363</f>
        <v>459.09108746714412</v>
      </c>
      <c r="R363" s="857">
        <f>Q363*3.3%+Q363</f>
        <v>474.2410933535599</v>
      </c>
      <c r="S363" s="857">
        <f>R363*3.2%+R363</f>
        <v>489.41680834087384</v>
      </c>
    </row>
    <row r="364" spans="1:19" s="149" customFormat="1" ht="15" thickBot="1">
      <c r="A364" s="153"/>
      <c r="B364" s="178" t="s">
        <v>280</v>
      </c>
      <c r="C364" s="958" t="s">
        <v>281</v>
      </c>
      <c r="D364" s="959"/>
      <c r="E364" s="323">
        <v>469.79743999999999</v>
      </c>
      <c r="F364" s="323">
        <f t="shared" si="341"/>
        <v>502.21346336000005</v>
      </c>
      <c r="G364" s="657">
        <f>F364*106.4/100</f>
        <v>534.35512501504013</v>
      </c>
      <c r="H364" s="656">
        <f t="shared" ref="H364:I364" si="344">G364*5.3%+G364</f>
        <v>562.67594664083731</v>
      </c>
      <c r="I364" s="656">
        <f t="shared" si="344"/>
        <v>592.49777181280172</v>
      </c>
      <c r="J364" s="656">
        <f>I364-I364*0.08</f>
        <v>545.09795006777756</v>
      </c>
      <c r="K364" s="656">
        <f>I364*5.4%+I364</f>
        <v>624.49265149069299</v>
      </c>
      <c r="L364" s="656">
        <f>K364*10%+K364</f>
        <v>686.94191663976233</v>
      </c>
      <c r="M364" s="656">
        <f t="shared" si="343"/>
        <v>721.28901247175042</v>
      </c>
      <c r="N364" s="744">
        <f>M364*5.3%+M364</f>
        <v>759.51733013275316</v>
      </c>
      <c r="O364" s="705">
        <f>N364*4.9%+N364</f>
        <v>796.73367930925804</v>
      </c>
      <c r="P364" s="688">
        <f>O364*4.4%+O364</f>
        <v>831.7899611988654</v>
      </c>
      <c r="Q364" s="938">
        <f>O364*3.7%+O364</f>
        <v>826.21282544370058</v>
      </c>
      <c r="R364" s="857">
        <f>Q364*3.3%+Q364</f>
        <v>853.4778486833427</v>
      </c>
      <c r="S364" s="857">
        <f>R364*3.2%+R364</f>
        <v>880.7891398412097</v>
      </c>
    </row>
    <row r="365" spans="1:19" s="149" customFormat="1">
      <c r="A365" s="153"/>
      <c r="B365" s="168"/>
      <c r="C365" s="887"/>
      <c r="D365" s="887"/>
      <c r="E365" s="888"/>
      <c r="F365" s="888"/>
      <c r="G365" s="889"/>
      <c r="H365" s="889"/>
      <c r="I365" s="889"/>
      <c r="J365" s="889"/>
      <c r="K365" s="889"/>
      <c r="L365" s="889"/>
      <c r="M365" s="889"/>
      <c r="N365" s="642"/>
      <c r="O365" s="753"/>
      <c r="P365" s="934"/>
      <c r="Q365" s="903"/>
      <c r="R365" s="817"/>
      <c r="S365" s="817"/>
    </row>
    <row r="366" spans="1:19" s="149" customFormat="1">
      <c r="A366" s="153"/>
      <c r="B366" s="168"/>
      <c r="C366" s="887"/>
      <c r="D366" s="887"/>
      <c r="E366" s="888"/>
      <c r="F366" s="888"/>
      <c r="G366" s="889"/>
      <c r="H366" s="889"/>
      <c r="I366" s="889"/>
      <c r="J366" s="889"/>
      <c r="K366" s="889"/>
      <c r="L366" s="889"/>
      <c r="M366" s="889"/>
      <c r="N366" s="642"/>
      <c r="O366" s="753"/>
      <c r="P366" s="934"/>
      <c r="Q366" s="903"/>
      <c r="R366" s="817"/>
      <c r="S366" s="817"/>
    </row>
    <row r="367" spans="1:19" ht="11.25" customHeight="1"/>
    <row r="368" spans="1:19" ht="17.25" customHeight="1">
      <c r="B368" s="13" t="s">
        <v>282</v>
      </c>
      <c r="C368" s="13"/>
      <c r="D368" s="13"/>
      <c r="E368" s="13"/>
      <c r="G368" s="753"/>
      <c r="H368" s="753"/>
      <c r="I368" s="753"/>
      <c r="J368" s="753"/>
      <c r="K368" s="753"/>
      <c r="L368" s="753"/>
      <c r="M368" s="753"/>
      <c r="N368" s="753"/>
    </row>
    <row r="369" spans="2:14">
      <c r="B369" s="13" t="s">
        <v>284</v>
      </c>
      <c r="C369" s="13"/>
      <c r="D369" s="754" t="s">
        <v>375</v>
      </c>
      <c r="E369" s="13"/>
      <c r="G369" s="753"/>
      <c r="H369" s="753"/>
      <c r="I369" s="753"/>
      <c r="J369" s="753"/>
      <c r="K369" s="753"/>
      <c r="L369" s="753"/>
      <c r="M369" s="753"/>
      <c r="N369" s="753"/>
    </row>
    <row r="370" spans="2:14">
      <c r="B370" s="117" t="s">
        <v>285</v>
      </c>
      <c r="C370" s="117"/>
      <c r="D370" s="755"/>
      <c r="E370" s="13"/>
      <c r="G370" s="753"/>
      <c r="H370" s="753"/>
      <c r="I370" s="753"/>
      <c r="J370" s="753"/>
      <c r="K370" s="753"/>
      <c r="L370" s="753"/>
      <c r="M370" s="753"/>
      <c r="N370" s="753"/>
    </row>
    <row r="371" spans="2:14">
      <c r="B371" s="819" t="s">
        <v>286</v>
      </c>
      <c r="C371" s="819"/>
      <c r="D371" s="820">
        <v>250</v>
      </c>
      <c r="E371" s="13"/>
      <c r="G371" s="753"/>
      <c r="H371" s="753"/>
      <c r="I371" s="753"/>
      <c r="J371" s="753"/>
      <c r="K371" s="753"/>
      <c r="L371" s="753"/>
      <c r="M371" s="753"/>
      <c r="N371" s="753"/>
    </row>
    <row r="372" spans="2:14">
      <c r="B372" s="819" t="s">
        <v>287</v>
      </c>
      <c r="C372" s="819"/>
      <c r="D372" s="820">
        <v>350</v>
      </c>
      <c r="E372" s="13"/>
      <c r="G372" s="753"/>
      <c r="H372" s="753"/>
      <c r="I372" s="753"/>
      <c r="J372" s="753"/>
      <c r="K372" s="753"/>
      <c r="L372" s="753"/>
      <c r="M372" s="753"/>
      <c r="N372" s="753"/>
    </row>
    <row r="373" spans="2:14">
      <c r="B373" s="819" t="s">
        <v>288</v>
      </c>
      <c r="C373" s="819"/>
      <c r="D373" s="820">
        <v>500</v>
      </c>
      <c r="E373" s="13"/>
      <c r="G373" s="753"/>
      <c r="H373" s="753"/>
      <c r="I373" s="753"/>
      <c r="J373" s="753"/>
      <c r="K373" s="753"/>
      <c r="L373" s="753"/>
      <c r="M373" s="753"/>
      <c r="N373" s="753"/>
    </row>
    <row r="374" spans="2:14">
      <c r="B374" s="819" t="s">
        <v>289</v>
      </c>
      <c r="C374" s="819"/>
      <c r="D374" s="820">
        <v>750</v>
      </c>
      <c r="E374" s="13"/>
      <c r="G374" s="753"/>
      <c r="H374" s="753"/>
      <c r="I374" s="753"/>
      <c r="J374" s="753"/>
      <c r="K374" s="753"/>
      <c r="L374" s="753"/>
      <c r="M374" s="753"/>
      <c r="N374" s="753"/>
    </row>
    <row r="375" spans="2:14">
      <c r="B375" s="819" t="s">
        <v>290</v>
      </c>
      <c r="C375" s="819"/>
      <c r="D375" s="820">
        <v>1000</v>
      </c>
      <c r="E375" s="13"/>
      <c r="G375" s="753"/>
      <c r="H375" s="753"/>
      <c r="I375" s="753"/>
      <c r="J375" s="753"/>
      <c r="K375" s="753"/>
      <c r="L375" s="753"/>
      <c r="M375" s="753"/>
      <c r="N375" s="753"/>
    </row>
    <row r="376" spans="2:14">
      <c r="B376" s="819" t="s">
        <v>291</v>
      </c>
      <c r="C376" s="819"/>
      <c r="D376" s="820">
        <v>5000</v>
      </c>
      <c r="E376" s="13"/>
      <c r="G376" s="753"/>
      <c r="H376" s="753"/>
      <c r="I376" s="753"/>
      <c r="J376" s="753"/>
      <c r="K376" s="753"/>
      <c r="L376" s="753"/>
      <c r="M376" s="753"/>
      <c r="N376" s="753"/>
    </row>
    <row r="377" spans="2:14">
      <c r="B377" s="819" t="s">
        <v>292</v>
      </c>
      <c r="C377" s="819"/>
      <c r="D377" s="820">
        <v>10000</v>
      </c>
      <c r="E377" s="13"/>
      <c r="G377" s="753"/>
      <c r="H377" s="753"/>
      <c r="I377" s="753"/>
      <c r="J377" s="753"/>
      <c r="K377" s="753"/>
      <c r="L377" s="753"/>
      <c r="M377" s="753"/>
      <c r="N377" s="753"/>
    </row>
    <row r="378" spans="2:14">
      <c r="B378" s="821" t="s">
        <v>293</v>
      </c>
      <c r="C378" s="819"/>
      <c r="D378" s="820"/>
      <c r="E378" s="13"/>
      <c r="G378" s="753"/>
      <c r="H378" s="753"/>
      <c r="I378" s="753"/>
      <c r="J378" s="753"/>
      <c r="K378" s="753"/>
      <c r="L378" s="753"/>
      <c r="M378" s="753"/>
      <c r="N378" s="753"/>
    </row>
    <row r="379" spans="2:14">
      <c r="B379" s="819" t="s">
        <v>294</v>
      </c>
      <c r="C379" s="819"/>
      <c r="D379" s="820">
        <v>100</v>
      </c>
      <c r="E379" s="13"/>
      <c r="G379" s="753"/>
      <c r="H379" s="753"/>
      <c r="I379" s="753"/>
      <c r="J379" s="753"/>
      <c r="K379" s="753"/>
      <c r="L379" s="753"/>
      <c r="M379" s="753"/>
      <c r="N379" s="753"/>
    </row>
    <row r="380" spans="2:14">
      <c r="B380" s="819" t="s">
        <v>295</v>
      </c>
      <c r="C380" s="819"/>
      <c r="D380" s="820">
        <v>50</v>
      </c>
      <c r="E380" s="13"/>
      <c r="G380" s="753"/>
      <c r="H380" s="753"/>
      <c r="I380" s="753"/>
      <c r="J380" s="753"/>
      <c r="K380" s="753"/>
      <c r="L380" s="753"/>
      <c r="M380" s="753"/>
      <c r="N380" s="753"/>
    </row>
    <row r="381" spans="2:14">
      <c r="B381" s="117" t="s">
        <v>296</v>
      </c>
      <c r="C381" s="13"/>
      <c r="D381" s="13"/>
      <c r="E381" s="13"/>
      <c r="G381" s="753"/>
      <c r="H381" s="753"/>
      <c r="I381" s="753"/>
      <c r="J381" s="753"/>
      <c r="K381" s="753"/>
      <c r="L381" s="753"/>
      <c r="M381" s="753"/>
      <c r="N381" s="753"/>
    </row>
    <row r="382" spans="2:14">
      <c r="B382" s="117"/>
      <c r="C382" s="13"/>
      <c r="D382" s="13"/>
      <c r="E382" s="13"/>
      <c r="G382" s="753"/>
      <c r="H382" s="753"/>
      <c r="I382" s="753"/>
      <c r="J382" s="753"/>
      <c r="K382" s="753"/>
      <c r="L382" s="753"/>
      <c r="M382" s="753"/>
      <c r="N382" s="753"/>
    </row>
    <row r="383" spans="2:14" ht="35.25" customHeight="1">
      <c r="B383" s="1010" t="s">
        <v>376</v>
      </c>
      <c r="C383" s="1010"/>
      <c r="D383" s="1010"/>
      <c r="E383" s="1010"/>
      <c r="F383" s="1010"/>
      <c r="G383" s="1010"/>
      <c r="H383" s="1010"/>
      <c r="I383" s="1010"/>
      <c r="J383" s="1010"/>
      <c r="K383" s="1010"/>
      <c r="L383" s="1010"/>
      <c r="M383" s="1010"/>
      <c r="N383" s="1010"/>
    </row>
    <row r="384" spans="2:14" ht="82.5" customHeight="1">
      <c r="B384" s="1009" t="s">
        <v>377</v>
      </c>
      <c r="C384" s="1009"/>
      <c r="D384" s="1009"/>
      <c r="E384" s="1009"/>
      <c r="F384" s="1009"/>
      <c r="G384" s="1009"/>
      <c r="H384" s="1009"/>
      <c r="I384" s="1009"/>
      <c r="J384" s="1009"/>
      <c r="K384" s="1009"/>
      <c r="L384" s="1009"/>
      <c r="M384" s="1009"/>
      <c r="N384" s="1009"/>
    </row>
    <row r="385" spans="2:14" ht="19.5" customHeight="1">
      <c r="B385" s="875" t="s">
        <v>378</v>
      </c>
      <c r="C385"/>
      <c r="D385" t="s">
        <v>379</v>
      </c>
      <c r="E385"/>
      <c r="F385"/>
      <c r="G385"/>
      <c r="H385"/>
      <c r="I385"/>
      <c r="J385" s="148"/>
      <c r="K385" s="148"/>
      <c r="L385" s="148"/>
      <c r="M385" s="148" t="s">
        <v>380</v>
      </c>
      <c r="N385" s="148"/>
    </row>
    <row r="386" spans="2:14" ht="45.75" customHeight="1">
      <c r="B386" s="875" t="s">
        <v>381</v>
      </c>
      <c r="C386"/>
      <c r="D386" s="875" t="s">
        <v>382</v>
      </c>
      <c r="E386"/>
      <c r="F386"/>
      <c r="G386"/>
      <c r="H386"/>
      <c r="I386"/>
      <c r="J386" s="148"/>
      <c r="K386" s="148"/>
      <c r="L386" s="148"/>
      <c r="M386" s="148"/>
      <c r="N386" s="148"/>
    </row>
    <row r="387" spans="2:14" ht="16">
      <c r="B387" s="875"/>
      <c r="C387"/>
      <c r="E387"/>
      <c r="F387"/>
      <c r="G387"/>
      <c r="H387"/>
      <c r="I387"/>
      <c r="J387" s="148"/>
      <c r="K387" s="148"/>
      <c r="L387" s="148"/>
      <c r="M387" s="148"/>
      <c r="N387" s="148"/>
    </row>
    <row r="388" spans="2:14" ht="16">
      <c r="C388"/>
      <c r="D388" s="875"/>
      <c r="E388"/>
      <c r="F388"/>
      <c r="G388"/>
      <c r="H388"/>
      <c r="I388"/>
      <c r="J388" s="148"/>
      <c r="K388" s="148"/>
      <c r="L388" s="148"/>
      <c r="M388" s="148"/>
      <c r="N388" s="148"/>
    </row>
    <row r="389" spans="2:14" ht="16">
      <c r="C389"/>
      <c r="D389" s="875"/>
      <c r="E389"/>
      <c r="F389"/>
      <c r="G389"/>
      <c r="H389"/>
      <c r="I389"/>
      <c r="J389" s="148"/>
      <c r="K389" s="148"/>
      <c r="L389" s="148"/>
      <c r="M389" s="148"/>
      <c r="N389" s="148"/>
    </row>
    <row r="390" spans="2:14" ht="15">
      <c r="C390"/>
      <c r="D390"/>
      <c r="E390"/>
      <c r="F390"/>
      <c r="G390"/>
      <c r="H390"/>
      <c r="I390"/>
      <c r="J390" s="148"/>
      <c r="K390" s="148"/>
      <c r="L390" s="148"/>
      <c r="M390" s="148"/>
      <c r="N390" s="148"/>
    </row>
    <row r="391" spans="2:14" ht="16">
      <c r="B391" s="875"/>
      <c r="C391"/>
      <c r="D391"/>
      <c r="E391"/>
      <c r="F391"/>
      <c r="G391"/>
      <c r="H391"/>
      <c r="I391"/>
      <c r="J391" s="148"/>
      <c r="K391" s="148"/>
      <c r="L391" s="148"/>
      <c r="M391" s="148"/>
      <c r="N391" s="148"/>
    </row>
    <row r="392" spans="2:14" ht="17">
      <c r="B392" s="875" t="s">
        <v>383</v>
      </c>
      <c r="C392"/>
      <c r="D392" s="875" t="s">
        <v>384</v>
      </c>
      <c r="E392"/>
      <c r="F392"/>
      <c r="G392"/>
      <c r="H392"/>
      <c r="I392"/>
      <c r="J392" s="148"/>
      <c r="K392" s="148"/>
      <c r="L392" s="148"/>
      <c r="M392" s="148"/>
      <c r="N392" s="148"/>
    </row>
    <row r="393" spans="2:14" ht="17">
      <c r="B393" s="875" t="s">
        <v>385</v>
      </c>
      <c r="C393"/>
      <c r="D393"/>
      <c r="E393"/>
      <c r="F393"/>
      <c r="G393"/>
      <c r="H393"/>
      <c r="I393" s="875" t="s">
        <v>385</v>
      </c>
      <c r="J393" s="148"/>
      <c r="K393" s="148"/>
      <c r="L393" s="148"/>
      <c r="M393" s="148"/>
      <c r="N393" s="148"/>
    </row>
    <row r="394" spans="2:14">
      <c r="B394" s="148"/>
      <c r="C394" s="148"/>
      <c r="D394" s="148"/>
      <c r="E394" s="148"/>
      <c r="F394" s="148"/>
      <c r="G394" s="148"/>
      <c r="H394" s="148"/>
      <c r="I394" s="148"/>
      <c r="J394" s="148"/>
      <c r="K394" s="148"/>
      <c r="L394" s="148"/>
      <c r="M394" s="148"/>
      <c r="N394" s="148"/>
    </row>
    <row r="395" spans="2:14">
      <c r="B395" s="148"/>
      <c r="C395" s="148"/>
      <c r="D395" s="148"/>
      <c r="E395" s="148"/>
      <c r="F395" s="148"/>
      <c r="G395" s="148"/>
      <c r="H395" s="148"/>
      <c r="I395" s="148"/>
      <c r="J395" s="148"/>
      <c r="K395" s="148"/>
      <c r="L395" s="148"/>
      <c r="M395" s="148"/>
      <c r="N395" s="148"/>
    </row>
    <row r="396" spans="2:14">
      <c r="B396" s="148"/>
      <c r="C396" s="148"/>
      <c r="D396" s="148"/>
      <c r="E396" s="148"/>
      <c r="F396" s="148"/>
      <c r="G396" s="148"/>
      <c r="H396" s="148"/>
      <c r="I396" s="148"/>
      <c r="J396" s="148"/>
      <c r="K396" s="148"/>
      <c r="L396" s="148"/>
      <c r="M396" s="148"/>
      <c r="N396" s="148"/>
    </row>
    <row r="397" spans="2:14">
      <c r="B397" s="148"/>
      <c r="C397" s="148"/>
      <c r="D397" s="148"/>
      <c r="E397" s="148"/>
      <c r="F397" s="148"/>
      <c r="G397" s="148"/>
      <c r="H397" s="148"/>
      <c r="I397" s="148"/>
      <c r="J397" s="148"/>
      <c r="K397" s="148"/>
      <c r="L397" s="148"/>
      <c r="M397" s="148"/>
      <c r="N397" s="148"/>
    </row>
    <row r="398" spans="2:14">
      <c r="B398" s="148"/>
      <c r="C398" s="148"/>
      <c r="D398" s="148"/>
      <c r="E398" s="148"/>
      <c r="F398" s="148"/>
      <c r="G398" s="148"/>
      <c r="H398" s="148"/>
      <c r="I398" s="148"/>
      <c r="J398" s="148"/>
      <c r="K398" s="148"/>
      <c r="L398" s="148"/>
      <c r="M398" s="148"/>
      <c r="N398" s="148"/>
    </row>
    <row r="399" spans="2:14">
      <c r="B399" s="148"/>
      <c r="C399" s="148"/>
      <c r="D399" s="148"/>
      <c r="E399" s="148"/>
      <c r="F399" s="148"/>
      <c r="G399" s="148"/>
      <c r="H399" s="148"/>
      <c r="I399" s="148"/>
      <c r="J399" s="148"/>
      <c r="K399" s="148"/>
      <c r="L399" s="148"/>
      <c r="M399" s="148"/>
      <c r="N399" s="148"/>
    </row>
    <row r="400" spans="2:14">
      <c r="B400" s="148"/>
      <c r="C400" s="148"/>
      <c r="D400" s="148"/>
      <c r="E400" s="148"/>
      <c r="F400" s="148"/>
      <c r="G400" s="148"/>
      <c r="H400" s="148"/>
      <c r="I400" s="148"/>
      <c r="J400" s="148"/>
      <c r="K400" s="148"/>
      <c r="L400" s="148"/>
      <c r="M400" s="148"/>
      <c r="N400" s="148"/>
    </row>
    <row r="401" spans="2:14">
      <c r="B401" s="148"/>
      <c r="C401" s="148"/>
      <c r="D401" s="148"/>
      <c r="E401" s="148"/>
      <c r="F401" s="148"/>
      <c r="G401" s="148"/>
      <c r="H401" s="148"/>
      <c r="I401" s="148"/>
      <c r="J401" s="148"/>
      <c r="K401" s="148"/>
      <c r="L401" s="148"/>
      <c r="M401" s="148"/>
      <c r="N401" s="148"/>
    </row>
    <row r="402" spans="2:14">
      <c r="B402" s="148"/>
      <c r="C402" s="148"/>
      <c r="D402" s="148"/>
      <c r="E402" s="148"/>
      <c r="F402" s="148"/>
      <c r="G402" s="148"/>
      <c r="H402" s="148"/>
      <c r="I402" s="148"/>
      <c r="J402" s="148"/>
      <c r="K402" s="148"/>
      <c r="L402" s="148"/>
      <c r="M402" s="148"/>
      <c r="N402" s="148"/>
    </row>
    <row r="403" spans="2:14">
      <c r="B403" s="148"/>
      <c r="C403" s="148"/>
      <c r="D403" s="148"/>
      <c r="E403" s="148"/>
      <c r="F403" s="148"/>
      <c r="G403" s="148"/>
      <c r="H403" s="148"/>
      <c r="I403" s="148"/>
      <c r="J403" s="148"/>
      <c r="K403" s="148"/>
      <c r="L403" s="148"/>
      <c r="M403" s="148"/>
      <c r="N403" s="148"/>
    </row>
    <row r="404" spans="2:14">
      <c r="B404" s="148"/>
      <c r="C404" s="148"/>
      <c r="D404" s="148"/>
      <c r="E404" s="148"/>
      <c r="F404" s="148"/>
      <c r="G404" s="148"/>
      <c r="H404" s="148"/>
      <c r="I404" s="148"/>
      <c r="J404" s="148"/>
      <c r="K404" s="148"/>
      <c r="L404" s="148"/>
      <c r="M404" s="148"/>
      <c r="N404" s="148"/>
    </row>
    <row r="405" spans="2:14">
      <c r="B405" s="148"/>
      <c r="C405" s="148"/>
      <c r="D405" s="148"/>
      <c r="E405" s="148"/>
      <c r="F405" s="148"/>
      <c r="G405" s="148"/>
      <c r="H405" s="148"/>
      <c r="I405" s="148"/>
      <c r="J405" s="148"/>
      <c r="K405" s="148"/>
      <c r="L405" s="148"/>
      <c r="M405" s="148"/>
      <c r="N405" s="148"/>
    </row>
    <row r="406" spans="2:14">
      <c r="B406" s="148"/>
      <c r="C406" s="148"/>
      <c r="D406" s="148"/>
      <c r="E406" s="148"/>
      <c r="F406" s="148"/>
      <c r="G406" s="148"/>
      <c r="H406" s="148"/>
      <c r="I406" s="148"/>
      <c r="J406" s="148"/>
      <c r="K406" s="148"/>
      <c r="L406" s="148"/>
      <c r="M406" s="148"/>
      <c r="N406" s="148"/>
    </row>
    <row r="407" spans="2:14">
      <c r="B407" s="148"/>
      <c r="C407" s="148"/>
      <c r="D407" s="148"/>
      <c r="E407" s="148"/>
      <c r="F407" s="148"/>
      <c r="G407" s="148"/>
      <c r="H407" s="148"/>
      <c r="I407" s="148"/>
      <c r="J407" s="148"/>
      <c r="K407" s="148"/>
      <c r="L407" s="148"/>
      <c r="M407" s="148"/>
      <c r="N407" s="148"/>
    </row>
    <row r="408" spans="2:14">
      <c r="B408" s="148"/>
      <c r="C408" s="148"/>
      <c r="D408" s="148"/>
      <c r="E408" s="148"/>
      <c r="F408" s="148"/>
      <c r="G408" s="148"/>
      <c r="H408" s="148"/>
      <c r="I408" s="148"/>
      <c r="J408" s="148"/>
      <c r="K408" s="148"/>
      <c r="L408" s="148"/>
      <c r="M408" s="148"/>
      <c r="N408" s="148"/>
    </row>
    <row r="409" spans="2:14">
      <c r="B409" s="148"/>
      <c r="C409" s="148"/>
      <c r="D409" s="148"/>
      <c r="E409" s="148"/>
      <c r="F409" s="148"/>
      <c r="G409" s="148"/>
      <c r="H409" s="148"/>
      <c r="I409" s="148"/>
      <c r="J409" s="148"/>
      <c r="K409" s="148"/>
      <c r="L409" s="148"/>
      <c r="M409" s="148"/>
      <c r="N409" s="148"/>
    </row>
  </sheetData>
  <mergeCells count="23">
    <mergeCell ref="B384:N384"/>
    <mergeCell ref="B383:N383"/>
    <mergeCell ref="C337:E337"/>
    <mergeCell ref="B355:D355"/>
    <mergeCell ref="C351:D351"/>
    <mergeCell ref="C353:D353"/>
    <mergeCell ref="B351:B352"/>
    <mergeCell ref="H74:K74"/>
    <mergeCell ref="C363:D363"/>
    <mergeCell ref="C364:D364"/>
    <mergeCell ref="E6:H6"/>
    <mergeCell ref="B178:D178"/>
    <mergeCell ref="B112:D112"/>
    <mergeCell ref="B137:D137"/>
    <mergeCell ref="B6:D6"/>
    <mergeCell ref="B74:D74"/>
    <mergeCell ref="E112:G112"/>
    <mergeCell ref="E137:G137"/>
    <mergeCell ref="E74:G74"/>
    <mergeCell ref="E178:G178"/>
    <mergeCell ref="H137:I137"/>
    <mergeCell ref="H178:I178"/>
    <mergeCell ref="I6:K6"/>
  </mergeCells>
  <pageMargins left="0.70866141732283472" right="0.70866141732283472" top="0.74803149606299213" bottom="0.74803149606299213" header="0.31496062992125984" footer="0.31496062992125984"/>
  <pageSetup paperSize="9" scale="7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91"/>
  <sheetViews>
    <sheetView workbookViewId="0">
      <selection activeCell="H83" sqref="H83"/>
    </sheetView>
  </sheetViews>
  <sheetFormatPr baseColWidth="10" defaultColWidth="8.83203125" defaultRowHeight="15"/>
  <cols>
    <col min="1" max="1" width="28.83203125" customWidth="1"/>
    <col min="2" max="2" width="15.1640625" customWidth="1"/>
    <col min="3" max="4" width="15" customWidth="1"/>
    <col min="5" max="5" width="17.1640625" style="338" customWidth="1"/>
    <col min="6" max="6" width="14.6640625" customWidth="1"/>
    <col min="7" max="7" width="13.33203125" style="293" customWidth="1"/>
    <col min="8" max="8" width="10.5" bestFit="1" customWidth="1"/>
    <col min="10" max="10" width="16.6640625" customWidth="1"/>
    <col min="11" max="13" width="9.83203125" bestFit="1" customWidth="1"/>
    <col min="14" max="14" width="11" customWidth="1"/>
  </cols>
  <sheetData>
    <row r="1" spans="1:9" s="296" customFormat="1" ht="19">
      <c r="A1" s="295" t="s">
        <v>386</v>
      </c>
      <c r="E1" s="337"/>
      <c r="G1" s="331"/>
    </row>
    <row r="2" spans="1:9" s="296" customFormat="1" ht="12.75" customHeight="1">
      <c r="A2" s="295"/>
      <c r="E2" s="337"/>
      <c r="G2" s="331"/>
    </row>
    <row r="3" spans="1:9" s="296" customFormat="1" ht="19">
      <c r="A3" s="290" t="s">
        <v>387</v>
      </c>
      <c r="E3" s="337"/>
      <c r="G3" s="331"/>
    </row>
    <row r="4" spans="1:9" ht="33" customHeight="1">
      <c r="A4" s="1023" t="s">
        <v>388</v>
      </c>
      <c r="B4" s="1024"/>
      <c r="C4" s="1024"/>
      <c r="D4" s="1024"/>
      <c r="E4" s="1024"/>
      <c r="F4" s="1024"/>
      <c r="G4" s="1024"/>
    </row>
    <row r="5" spans="1:9" ht="16">
      <c r="A5" s="291"/>
    </row>
    <row r="6" spans="1:9" ht="16">
      <c r="A6" s="291" t="s">
        <v>389</v>
      </c>
    </row>
    <row r="7" spans="1:9">
      <c r="A7" t="s">
        <v>390</v>
      </c>
    </row>
    <row r="9" spans="1:9" ht="16">
      <c r="A9" s="291" t="s">
        <v>391</v>
      </c>
      <c r="B9" s="297"/>
      <c r="C9" s="297"/>
      <c r="D9" s="297"/>
      <c r="E9" s="339"/>
    </row>
    <row r="10" spans="1:9" ht="16">
      <c r="A10" s="297" t="s">
        <v>392</v>
      </c>
      <c r="B10" s="297"/>
      <c r="C10" s="297"/>
      <c r="D10" s="297"/>
      <c r="E10" s="339"/>
    </row>
    <row r="11" spans="1:9" ht="16">
      <c r="A11" s="297"/>
      <c r="B11" s="297"/>
      <c r="C11" s="297"/>
      <c r="D11" s="297"/>
      <c r="E11" s="339"/>
    </row>
    <row r="12" spans="1:9" ht="16">
      <c r="A12" s="291" t="s">
        <v>393</v>
      </c>
    </row>
    <row r="13" spans="1:9">
      <c r="A13" s="290" t="s">
        <v>394</v>
      </c>
    </row>
    <row r="14" spans="1:9" ht="33" customHeight="1">
      <c r="A14" s="290" t="s">
        <v>395</v>
      </c>
      <c r="C14" s="341" t="s">
        <v>396</v>
      </c>
      <c r="D14" s="341" t="s">
        <v>397</v>
      </c>
      <c r="E14" s="341" t="s">
        <v>398</v>
      </c>
      <c r="F14" s="290" t="s">
        <v>399</v>
      </c>
      <c r="G14" s="332" t="s">
        <v>400</v>
      </c>
    </row>
    <row r="15" spans="1:9">
      <c r="A15" t="s">
        <v>15</v>
      </c>
      <c r="B15" t="s">
        <v>13</v>
      </c>
      <c r="C15" s="342">
        <v>0.1</v>
      </c>
      <c r="D15" s="338">
        <f>E15-C15</f>
        <v>8.1200000000000022E-2</v>
      </c>
      <c r="E15" s="336">
        <f>(G15/F15)-100%</f>
        <v>0.18120000000000003</v>
      </c>
      <c r="F15" s="294">
        <v>5.7717000000000001</v>
      </c>
      <c r="G15" s="294">
        <f>F15*18.12%+F15</f>
        <v>6.8175320399999997</v>
      </c>
      <c r="I15" s="290"/>
    </row>
    <row r="16" spans="1:9">
      <c r="A16" t="s">
        <v>314</v>
      </c>
      <c r="B16" t="s">
        <v>13</v>
      </c>
      <c r="C16" s="342">
        <v>0.1</v>
      </c>
      <c r="D16" s="338">
        <f>E16-C16</f>
        <v>0.22289999999999996</v>
      </c>
      <c r="E16" s="336">
        <f>(G16/F16)-100%</f>
        <v>0.32289999999999996</v>
      </c>
      <c r="F16" s="294">
        <v>8.4700000000000024</v>
      </c>
      <c r="G16" s="294">
        <f>F16*32.29%+F16</f>
        <v>11.204963000000003</v>
      </c>
    </row>
    <row r="17" spans="1:8" ht="21" customHeight="1">
      <c r="A17" s="346" t="s">
        <v>401</v>
      </c>
      <c r="B17" s="346"/>
      <c r="C17" s="346"/>
      <c r="D17" s="346"/>
      <c r="E17" s="346"/>
      <c r="F17" s="346"/>
      <c r="G17" s="346"/>
    </row>
    <row r="18" spans="1:8" ht="24.75" customHeight="1">
      <c r="E18" s="336"/>
      <c r="G18" s="328"/>
    </row>
    <row r="19" spans="1:8" ht="32">
      <c r="A19" s="290" t="s">
        <v>31</v>
      </c>
      <c r="C19" s="341" t="s">
        <v>396</v>
      </c>
      <c r="D19" s="341" t="s">
        <v>397</v>
      </c>
      <c r="E19" s="341" t="s">
        <v>398</v>
      </c>
      <c r="F19" s="290" t="s">
        <v>399</v>
      </c>
      <c r="G19" s="332" t="s">
        <v>400</v>
      </c>
    </row>
    <row r="20" spans="1:8">
      <c r="A20" t="s">
        <v>35</v>
      </c>
      <c r="C20" s="342">
        <v>0.1</v>
      </c>
      <c r="D20" s="338">
        <f>E20-C20</f>
        <v>0</v>
      </c>
      <c r="E20" s="336">
        <f>(G20/F20)-100%</f>
        <v>0.10000000000000009</v>
      </c>
      <c r="F20" s="293">
        <v>72.600000000000009</v>
      </c>
      <c r="G20" s="328">
        <f>F20*10%+F20</f>
        <v>79.860000000000014</v>
      </c>
    </row>
    <row r="21" spans="1:8">
      <c r="A21" t="s">
        <v>44</v>
      </c>
      <c r="C21" s="342">
        <v>0.1</v>
      </c>
      <c r="D21" s="338">
        <f>E21-C21</f>
        <v>0</v>
      </c>
      <c r="E21" s="336">
        <f>(G21/F21)-100%</f>
        <v>0.10000000000000009</v>
      </c>
      <c r="F21" s="293">
        <v>193.60000000000002</v>
      </c>
      <c r="G21" s="328">
        <f>F21*10%+F21</f>
        <v>212.96000000000004</v>
      </c>
    </row>
    <row r="22" spans="1:8">
      <c r="E22" s="336"/>
      <c r="G22" s="328"/>
    </row>
    <row r="23" spans="1:8" ht="16">
      <c r="A23" s="291" t="s">
        <v>402</v>
      </c>
      <c r="E23" s="336"/>
      <c r="G23" s="328"/>
    </row>
    <row r="24" spans="1:8" ht="32">
      <c r="A24" s="290" t="s">
        <v>394</v>
      </c>
      <c r="C24" s="341" t="s">
        <v>396</v>
      </c>
      <c r="D24" s="341" t="s">
        <v>397</v>
      </c>
      <c r="E24" s="341" t="s">
        <v>398</v>
      </c>
      <c r="F24" s="290" t="s">
        <v>399</v>
      </c>
      <c r="G24" s="332" t="s">
        <v>400</v>
      </c>
    </row>
    <row r="25" spans="1:8">
      <c r="A25" s="290" t="s">
        <v>395</v>
      </c>
      <c r="C25" s="342">
        <v>0.1</v>
      </c>
      <c r="D25" s="338">
        <f>E25-C25</f>
        <v>1.9399999999999945E-2</v>
      </c>
      <c r="E25" s="336">
        <f>(G25/F25)-100%</f>
        <v>0.11939999999999995</v>
      </c>
      <c r="F25" s="294">
        <v>58.85</v>
      </c>
      <c r="G25" s="294">
        <f>F25*11.94%+F25</f>
        <v>65.876689999999996</v>
      </c>
    </row>
    <row r="26" spans="1:8">
      <c r="A26" t="s">
        <v>15</v>
      </c>
      <c r="B26" t="s">
        <v>13</v>
      </c>
      <c r="C26" s="342">
        <v>0.1</v>
      </c>
      <c r="D26" s="338">
        <f>E26-C26</f>
        <v>1.6199999999999853E-2</v>
      </c>
      <c r="E26" s="336">
        <f>(G26/F26)-100%</f>
        <v>0.11619999999999986</v>
      </c>
      <c r="F26" s="294">
        <v>2.508</v>
      </c>
      <c r="G26" s="294">
        <f>F26*11.62%+F26</f>
        <v>2.7994295999999999</v>
      </c>
    </row>
    <row r="27" spans="1:8">
      <c r="A27" t="s">
        <v>395</v>
      </c>
      <c r="C27" s="342">
        <v>0.1</v>
      </c>
      <c r="D27" s="338">
        <f>E27-C27</f>
        <v>1.5199999999999964E-2</v>
      </c>
      <c r="E27" s="336">
        <f>(G27/F27)-100%</f>
        <v>0.11519999999999997</v>
      </c>
      <c r="F27" s="294">
        <v>78.100000000000009</v>
      </c>
      <c r="G27" s="294">
        <f>F27*11.52%+F27</f>
        <v>87.097120000000004</v>
      </c>
    </row>
    <row r="28" spans="1:8">
      <c r="A28" t="s">
        <v>314</v>
      </c>
      <c r="B28" t="s">
        <v>13</v>
      </c>
      <c r="C28" s="342">
        <v>0.1</v>
      </c>
      <c r="D28" s="338">
        <f>E28-C28</f>
        <v>1.7199999999999965E-2</v>
      </c>
      <c r="E28" s="336">
        <f>(G28/F28)-100%</f>
        <v>0.11719999999999997</v>
      </c>
      <c r="F28" s="294">
        <v>2.8820000000000006</v>
      </c>
      <c r="G28" s="294">
        <f>F28*11.72%+F28</f>
        <v>3.2197704000000007</v>
      </c>
    </row>
    <row r="29" spans="1:8">
      <c r="A29" s="347" t="s">
        <v>403</v>
      </c>
      <c r="B29" s="347"/>
      <c r="C29" s="347"/>
      <c r="D29" s="347"/>
      <c r="E29" s="347"/>
      <c r="F29" s="347"/>
      <c r="G29" s="347"/>
      <c r="H29" s="347"/>
    </row>
    <row r="30" spans="1:8">
      <c r="E30" s="340"/>
      <c r="F30" s="340"/>
      <c r="G30" s="340"/>
    </row>
    <row r="31" spans="1:8">
      <c r="A31" s="290" t="s">
        <v>31</v>
      </c>
      <c r="E31" s="336"/>
      <c r="F31" s="290" t="s">
        <v>399</v>
      </c>
      <c r="G31" s="333" t="s">
        <v>400</v>
      </c>
    </row>
    <row r="32" spans="1:8">
      <c r="A32" t="s">
        <v>35</v>
      </c>
      <c r="C32" s="342">
        <v>0.1</v>
      </c>
      <c r="D32" s="338">
        <f>E32-C32</f>
        <v>0</v>
      </c>
      <c r="E32" s="336">
        <f>(G32/F32)-100%</f>
        <v>0.10000000000000009</v>
      </c>
      <c r="F32" s="294">
        <v>67.320000000000007</v>
      </c>
      <c r="G32" s="328">
        <v>74.052000000000021</v>
      </c>
    </row>
    <row r="33" spans="1:10">
      <c r="A33" t="s">
        <v>44</v>
      </c>
      <c r="C33" s="342">
        <v>0.1</v>
      </c>
      <c r="D33" s="338">
        <f>E33-C33</f>
        <v>0</v>
      </c>
      <c r="E33" s="336">
        <f>(G33/F33)-100%</f>
        <v>0.10000000000000009</v>
      </c>
      <c r="F33" s="294">
        <v>294.25</v>
      </c>
      <c r="G33" s="328">
        <v>323.67500000000001</v>
      </c>
    </row>
    <row r="34" spans="1:10">
      <c r="E34" s="336"/>
    </row>
    <row r="35" spans="1:10" ht="16">
      <c r="A35" s="291" t="s">
        <v>404</v>
      </c>
      <c r="E35" s="336"/>
    </row>
    <row r="36" spans="1:10" ht="32">
      <c r="A36" s="290" t="s">
        <v>394</v>
      </c>
      <c r="C36" s="341" t="s">
        <v>396</v>
      </c>
      <c r="D36" s="341" t="s">
        <v>397</v>
      </c>
      <c r="E36" s="341" t="s">
        <v>398</v>
      </c>
      <c r="F36" s="290" t="s">
        <v>399</v>
      </c>
      <c r="G36" s="332" t="s">
        <v>400</v>
      </c>
    </row>
    <row r="37" spans="1:10">
      <c r="A37" s="290" t="s">
        <v>395</v>
      </c>
      <c r="C37" s="342">
        <v>0.1</v>
      </c>
      <c r="D37" s="338">
        <f>E37-C37</f>
        <v>1.8999999999999989E-2</v>
      </c>
      <c r="E37" s="336">
        <f>(G37/F37)-100%</f>
        <v>0.11899999999999999</v>
      </c>
      <c r="F37" s="294">
        <v>58.905000000000001</v>
      </c>
      <c r="G37" s="329">
        <f>F37*11.9%+F37</f>
        <v>65.914694999999995</v>
      </c>
    </row>
    <row r="38" spans="1:10">
      <c r="A38" t="s">
        <v>15</v>
      </c>
      <c r="B38" t="s">
        <v>13</v>
      </c>
      <c r="C38" s="342">
        <v>0.1</v>
      </c>
      <c r="D38" s="338">
        <f>E38-C38</f>
        <v>1.9299999999999956E-2</v>
      </c>
      <c r="E38" s="336">
        <f>(G38/F38)-100%</f>
        <v>0.11929999999999996</v>
      </c>
      <c r="F38" s="294">
        <v>2.4859999999999998</v>
      </c>
      <c r="G38" s="329">
        <f>F38*11.93%+F38</f>
        <v>2.7825797999999997</v>
      </c>
    </row>
    <row r="39" spans="1:10">
      <c r="A39" t="s">
        <v>395</v>
      </c>
      <c r="C39" s="342">
        <v>0.1</v>
      </c>
      <c r="D39" s="338">
        <f>E39-C39</f>
        <v>1.9099999999999978E-2</v>
      </c>
      <c r="E39" s="336">
        <f>(G39/F39)-100%</f>
        <v>0.11909999999999998</v>
      </c>
      <c r="F39" s="294">
        <v>77.230999999999995</v>
      </c>
      <c r="G39" s="330">
        <f>F39*11.91%+F39</f>
        <v>86.429212100000001</v>
      </c>
    </row>
    <row r="40" spans="1:10">
      <c r="A40" t="s">
        <v>314</v>
      </c>
      <c r="B40" t="s">
        <v>13</v>
      </c>
      <c r="C40" s="342">
        <v>0.1</v>
      </c>
      <c r="D40" s="338">
        <f>E40-C40</f>
        <v>1.9799999999999901E-2</v>
      </c>
      <c r="E40" s="336">
        <f>(G40/F40)-100%</f>
        <v>0.11979999999999991</v>
      </c>
      <c r="F40" s="294">
        <v>2.8600000000000003</v>
      </c>
      <c r="G40" s="329">
        <f>F40*11.98%+F40</f>
        <v>3.2026280000000003</v>
      </c>
    </row>
    <row r="41" spans="1:10">
      <c r="A41" s="348" t="s">
        <v>405</v>
      </c>
      <c r="B41" s="348"/>
      <c r="C41" s="348"/>
      <c r="D41" s="348"/>
      <c r="E41" s="348"/>
      <c r="F41" s="348"/>
      <c r="G41" s="348"/>
      <c r="H41" s="348"/>
    </row>
    <row r="42" spans="1:10">
      <c r="E42" s="340"/>
      <c r="F42" s="340"/>
      <c r="G42" s="340"/>
      <c r="I42" s="174"/>
      <c r="J42" s="175"/>
    </row>
    <row r="43" spans="1:10" ht="32">
      <c r="A43" s="290" t="s">
        <v>31</v>
      </c>
      <c r="C43" s="341" t="s">
        <v>396</v>
      </c>
      <c r="D43" s="341" t="s">
        <v>397</v>
      </c>
      <c r="E43" s="341" t="s">
        <v>398</v>
      </c>
      <c r="F43" s="290" t="s">
        <v>399</v>
      </c>
      <c r="G43" s="332" t="s">
        <v>400</v>
      </c>
    </row>
    <row r="44" spans="1:10">
      <c r="A44" t="s">
        <v>406</v>
      </c>
      <c r="C44" s="342">
        <v>0.1</v>
      </c>
      <c r="D44" s="338">
        <f>E44-C44</f>
        <v>3.3099999999999991E-2</v>
      </c>
      <c r="E44" s="336">
        <f>(G44/F44)-100%</f>
        <v>0.1331</v>
      </c>
      <c r="F44" s="294">
        <v>32.307758999999997</v>
      </c>
      <c r="G44" s="329">
        <f>F44*13.31%+F44</f>
        <v>36.607921722899995</v>
      </c>
    </row>
    <row r="45" spans="1:10">
      <c r="A45" t="s">
        <v>407</v>
      </c>
      <c r="C45" s="342">
        <v>0.1</v>
      </c>
      <c r="D45" s="338">
        <f>E45-C45</f>
        <v>2.2200000000000081E-2</v>
      </c>
      <c r="E45" s="336">
        <f>(G45/F45)-100%</f>
        <v>0.12220000000000009</v>
      </c>
      <c r="F45" s="294">
        <v>5.2033849999999999</v>
      </c>
      <c r="G45" s="328">
        <f>F45*12.22%+F45</f>
        <v>5.8392386470000002</v>
      </c>
    </row>
    <row r="46" spans="1:10">
      <c r="A46" t="s">
        <v>408</v>
      </c>
      <c r="C46" s="342">
        <v>0.1</v>
      </c>
      <c r="D46" s="338">
        <f>E46-C46</f>
        <v>1.8400000000000055E-2</v>
      </c>
      <c r="E46" s="336">
        <f>(G46/F46)-100%</f>
        <v>0.11840000000000006</v>
      </c>
      <c r="F46" s="294">
        <v>63.118814</v>
      </c>
      <c r="G46" s="329">
        <f>F46*11.84%+F46</f>
        <v>70.592081577599998</v>
      </c>
    </row>
    <row r="47" spans="1:10">
      <c r="A47" t="s">
        <v>409</v>
      </c>
      <c r="C47" s="342">
        <v>0.1</v>
      </c>
      <c r="D47" s="338">
        <f>E47-C47</f>
        <v>2.2100000000000092E-2</v>
      </c>
      <c r="E47" s="336">
        <f>(G47/F47)-100%</f>
        <v>0.1221000000000001</v>
      </c>
      <c r="F47" s="294">
        <v>20.766768000000003</v>
      </c>
      <c r="G47" s="330">
        <f>F47*12.21%+F47</f>
        <v>23.302390372800005</v>
      </c>
    </row>
    <row r="48" spans="1:10">
      <c r="E48" s="336"/>
      <c r="F48" s="294"/>
      <c r="G48" s="294"/>
    </row>
    <row r="49" spans="1:7" ht="16">
      <c r="A49" s="291" t="s">
        <v>410</v>
      </c>
      <c r="E49" s="336"/>
    </row>
    <row r="50" spans="1:7" ht="32">
      <c r="A50" s="290" t="s">
        <v>394</v>
      </c>
      <c r="C50" s="341" t="s">
        <v>396</v>
      </c>
      <c r="D50" s="341" t="s">
        <v>397</v>
      </c>
      <c r="E50" s="341" t="s">
        <v>398</v>
      </c>
      <c r="F50" s="290" t="s">
        <v>399</v>
      </c>
      <c r="G50" s="332" t="s">
        <v>400</v>
      </c>
    </row>
    <row r="51" spans="1:7">
      <c r="A51" s="290" t="s">
        <v>395</v>
      </c>
      <c r="C51" s="342">
        <v>0.1</v>
      </c>
      <c r="D51" s="338">
        <f>E51-C51</f>
        <v>0</v>
      </c>
      <c r="E51" s="336">
        <f>(G51/F51)-100%</f>
        <v>0.10000000000000009</v>
      </c>
      <c r="F51" s="294">
        <v>62.271000000000008</v>
      </c>
      <c r="G51" s="294">
        <v>68.498100000000008</v>
      </c>
    </row>
    <row r="52" spans="1:7">
      <c r="A52" t="s">
        <v>15</v>
      </c>
      <c r="B52" t="s">
        <v>13</v>
      </c>
      <c r="C52" s="342">
        <v>0.1</v>
      </c>
      <c r="D52" s="338">
        <f>E52-C52</f>
        <v>-1.3877787807814457E-16</v>
      </c>
      <c r="E52" s="336">
        <f>(G52/F52)-100%</f>
        <v>9.9999999999999867E-2</v>
      </c>
      <c r="F52" s="294">
        <v>2.63</v>
      </c>
      <c r="G52" s="294">
        <f>F52*10%+F52</f>
        <v>2.8929999999999998</v>
      </c>
    </row>
    <row r="53" spans="1:7">
      <c r="A53" t="s">
        <v>395</v>
      </c>
      <c r="C53" s="342">
        <v>0.1</v>
      </c>
      <c r="D53" s="338">
        <f>E53-C53</f>
        <v>0</v>
      </c>
      <c r="E53" s="336">
        <f>(G53/F53)-100%</f>
        <v>0.10000000000000009</v>
      </c>
      <c r="F53" s="294">
        <v>81.651600000000016</v>
      </c>
      <c r="G53" s="294">
        <v>89.816760000000016</v>
      </c>
    </row>
    <row r="54" spans="1:7">
      <c r="A54" t="s">
        <v>314</v>
      </c>
      <c r="B54" t="s">
        <v>13</v>
      </c>
      <c r="C54" s="342">
        <v>0.1</v>
      </c>
      <c r="D54" s="338">
        <f>E54-C54</f>
        <v>0</v>
      </c>
      <c r="E54" s="336">
        <f>(G54/F54)-100%</f>
        <v>0.10000000000000009</v>
      </c>
      <c r="F54" s="294">
        <v>3.0303000000000004</v>
      </c>
      <c r="G54" s="294">
        <v>3.3333300000000006</v>
      </c>
    </row>
    <row r="55" spans="1:7">
      <c r="E55" s="336"/>
      <c r="F55" s="294"/>
      <c r="G55" s="294"/>
    </row>
    <row r="56" spans="1:7" ht="32">
      <c r="A56" s="290" t="s">
        <v>31</v>
      </c>
      <c r="C56" s="341" t="s">
        <v>396</v>
      </c>
      <c r="D56" s="341" t="s">
        <v>397</v>
      </c>
      <c r="E56" s="341" t="s">
        <v>398</v>
      </c>
      <c r="F56" s="290" t="s">
        <v>399</v>
      </c>
      <c r="G56" s="332" t="s">
        <v>400</v>
      </c>
    </row>
    <row r="57" spans="1:7">
      <c r="A57" t="s">
        <v>406</v>
      </c>
      <c r="C57" s="342">
        <v>0.1</v>
      </c>
      <c r="D57" s="338">
        <f>E57-C57</f>
        <v>0</v>
      </c>
      <c r="E57" s="336">
        <f>(G57/F57)-100%</f>
        <v>0.10000000000000009</v>
      </c>
      <c r="F57" s="294">
        <v>35.520000000000003</v>
      </c>
      <c r="G57" s="294">
        <f>F57*10%+F57</f>
        <v>39.072000000000003</v>
      </c>
    </row>
    <row r="58" spans="1:7">
      <c r="A58" t="s">
        <v>407</v>
      </c>
      <c r="C58" s="342">
        <v>0.1</v>
      </c>
      <c r="D58" s="338">
        <f>E58-C58</f>
        <v>-1.3877787807814457E-16</v>
      </c>
      <c r="E58" s="336">
        <f>(G58/F58)-100%</f>
        <v>9.9999999999999867E-2</v>
      </c>
      <c r="F58" s="294">
        <v>5.5500000000000007</v>
      </c>
      <c r="G58" s="294">
        <f>F58*10%+F58</f>
        <v>6.1050000000000004</v>
      </c>
    </row>
    <row r="59" spans="1:7">
      <c r="A59" t="s">
        <v>408</v>
      </c>
      <c r="C59" s="342">
        <v>0.1</v>
      </c>
      <c r="D59" s="338">
        <f>E59-C59</f>
        <v>-1.3877787807814457E-16</v>
      </c>
      <c r="E59" s="336">
        <f>(G59/F59)-100%</f>
        <v>9.9999999999999867E-2</v>
      </c>
      <c r="F59" s="294">
        <v>66.600000000000009</v>
      </c>
      <c r="G59" s="294">
        <f>F59*10%+F59</f>
        <v>73.260000000000005</v>
      </c>
    </row>
    <row r="60" spans="1:7">
      <c r="A60" t="s">
        <v>409</v>
      </c>
      <c r="C60" s="342">
        <v>0.1</v>
      </c>
      <c r="D60" s="338">
        <f>E60-C60</f>
        <v>-1.3877787807814457E-16</v>
      </c>
      <c r="E60" s="336">
        <f>(G60/F60)-100%</f>
        <v>9.9999999999999867E-2</v>
      </c>
      <c r="F60" s="294">
        <v>22.144500000000001</v>
      </c>
      <c r="G60" s="294">
        <f>F60*10%+F60</f>
        <v>24.35895</v>
      </c>
    </row>
    <row r="63" spans="1:7" ht="16">
      <c r="A63" s="291" t="s">
        <v>411</v>
      </c>
      <c r="B63" s="297"/>
      <c r="C63" s="297"/>
      <c r="D63" s="297"/>
    </row>
    <row r="64" spans="1:7" ht="16">
      <c r="A64" s="297" t="s">
        <v>412</v>
      </c>
      <c r="B64" s="297"/>
      <c r="C64" s="297"/>
      <c r="D64" s="297"/>
      <c r="E64" s="339"/>
    </row>
    <row r="65" spans="1:9" ht="16">
      <c r="A65" s="297" t="s">
        <v>413</v>
      </c>
      <c r="B65" s="297"/>
      <c r="C65" s="297"/>
      <c r="D65" s="297"/>
      <c r="E65" s="339"/>
    </row>
    <row r="66" spans="1:9" ht="16">
      <c r="A66" s="297"/>
      <c r="B66" s="297"/>
      <c r="C66" s="297"/>
      <c r="D66" s="297"/>
      <c r="E66" s="339"/>
    </row>
    <row r="68" spans="1:9">
      <c r="A68" s="290" t="s">
        <v>399</v>
      </c>
      <c r="B68" s="290" t="s">
        <v>400</v>
      </c>
      <c r="C68" s="290" t="s">
        <v>414</v>
      </c>
      <c r="D68" s="31" t="s">
        <v>415</v>
      </c>
      <c r="E68" s="13" t="s">
        <v>416</v>
      </c>
    </row>
    <row r="69" spans="1:9">
      <c r="A69">
        <v>2.63</v>
      </c>
      <c r="B69" s="345">
        <f>A69*5%+A69</f>
        <v>2.7614999999999998</v>
      </c>
      <c r="C69" t="s">
        <v>417</v>
      </c>
      <c r="D69" s="236">
        <v>0</v>
      </c>
      <c r="E69" s="236">
        <v>62.27</v>
      </c>
    </row>
    <row r="70" spans="1:9">
      <c r="A70" s="345">
        <v>2.508</v>
      </c>
      <c r="B70" s="345">
        <f>A70*9.86%+A70</f>
        <v>2.7552887999999998</v>
      </c>
      <c r="C70" t="s">
        <v>418</v>
      </c>
      <c r="D70" s="236">
        <f>(5.77*10%+5.77)*10</f>
        <v>63.47</v>
      </c>
      <c r="E70" s="13">
        <f>(2.63*10%+2.63)*10</f>
        <v>28.93</v>
      </c>
      <c r="G70"/>
    </row>
    <row r="71" spans="1:9" ht="16" thickBot="1">
      <c r="A71" s="345">
        <v>2.4859999999999998</v>
      </c>
      <c r="B71" s="345">
        <f>A71*10.9%+A71</f>
        <v>2.7569739999999996</v>
      </c>
      <c r="D71" s="292">
        <f>D70</f>
        <v>63.47</v>
      </c>
      <c r="E71" s="292">
        <f>SUM(E69:E70)</f>
        <v>91.2</v>
      </c>
      <c r="G71"/>
    </row>
    <row r="72" spans="1:9" ht="16" thickTop="1">
      <c r="A72" s="345">
        <v>5.7717000000000001</v>
      </c>
      <c r="B72" s="345">
        <v>7.2146249999999998</v>
      </c>
      <c r="C72" t="s">
        <v>419</v>
      </c>
      <c r="D72" s="236">
        <f>E71-D70</f>
        <v>27.730000000000004</v>
      </c>
      <c r="E72" s="13"/>
      <c r="F72" s="13"/>
      <c r="G72"/>
    </row>
    <row r="73" spans="1:9">
      <c r="E73"/>
      <c r="F73" s="236"/>
      <c r="G73"/>
    </row>
    <row r="74" spans="1:9">
      <c r="E74" s="236"/>
      <c r="F74" s="13"/>
      <c r="G74"/>
    </row>
    <row r="75" spans="1:9" ht="16" thickBot="1">
      <c r="A75" s="308" t="s">
        <v>314</v>
      </c>
      <c r="B75" s="308" t="s">
        <v>416</v>
      </c>
      <c r="C75" s="308" t="s">
        <v>415</v>
      </c>
      <c r="D75" s="308"/>
      <c r="E75" s="308" t="s">
        <v>314</v>
      </c>
      <c r="F75" s="308" t="s">
        <v>416</v>
      </c>
      <c r="G75" s="308" t="s">
        <v>415</v>
      </c>
      <c r="H75" s="308"/>
    </row>
    <row r="76" spans="1:9" ht="16" thickBot="1">
      <c r="B76" s="308"/>
      <c r="C76" s="308"/>
      <c r="D76" s="308"/>
      <c r="E76" s="308"/>
      <c r="F76" s="309">
        <v>62.27</v>
      </c>
      <c r="G76" s="308">
        <v>5.77</v>
      </c>
      <c r="H76" s="13"/>
      <c r="I76" s="349">
        <f>(F76/F79)/6</f>
        <v>3.9461343472750321</v>
      </c>
    </row>
    <row r="77" spans="1:9" ht="16" thickBot="1">
      <c r="A77" t="s">
        <v>420</v>
      </c>
      <c r="B77" s="309">
        <v>81.651600000000002</v>
      </c>
      <c r="C77" s="308">
        <v>8.4700000000000006</v>
      </c>
      <c r="D77" s="308"/>
      <c r="E77" s="308"/>
      <c r="G77"/>
    </row>
    <row r="78" spans="1:9" ht="16" thickBot="1">
      <c r="B78" s="310"/>
      <c r="C78" s="308"/>
      <c r="D78" s="308"/>
      <c r="E78" s="308"/>
      <c r="F78" s="311">
        <f>62.27/31</f>
        <v>2.0087096774193549</v>
      </c>
      <c r="G78" s="311"/>
      <c r="H78" s="308"/>
    </row>
    <row r="79" spans="1:9" ht="31" thickBot="1">
      <c r="A79" s="202" t="s">
        <v>220</v>
      </c>
      <c r="B79" s="309">
        <v>3.0303000000000004</v>
      </c>
      <c r="C79" s="308">
        <v>8.4700000000000006</v>
      </c>
      <c r="D79" s="308"/>
      <c r="E79" s="344" t="s">
        <v>421</v>
      </c>
      <c r="F79" s="308">
        <v>2.63</v>
      </c>
      <c r="G79" s="308"/>
      <c r="H79" s="308" t="s">
        <v>422</v>
      </c>
    </row>
    <row r="80" spans="1:9" ht="16" thickBot="1">
      <c r="A80" s="202" t="s">
        <v>223</v>
      </c>
      <c r="B80" s="309">
        <v>3.774</v>
      </c>
      <c r="C80" s="308">
        <v>8.4700000000000006</v>
      </c>
      <c r="D80" s="308"/>
      <c r="E80" s="308"/>
      <c r="F80" s="312">
        <f>SUM(F78:F79)</f>
        <v>4.6387096774193548</v>
      </c>
      <c r="G80" s="313">
        <v>0.24349999999999999</v>
      </c>
      <c r="H80" s="311">
        <f>24.35/3</f>
        <v>8.1166666666666671</v>
      </c>
    </row>
    <row r="81" spans="1:10" ht="16" thickBot="1">
      <c r="A81" s="202" t="s">
        <v>214</v>
      </c>
      <c r="B81" s="309">
        <v>4.7508000000000008</v>
      </c>
      <c r="C81" s="308">
        <v>8.4700000000000006</v>
      </c>
      <c r="D81" s="308"/>
      <c r="E81" s="308"/>
      <c r="F81" s="311">
        <f>3.3855+2.01</f>
        <v>5.3955000000000002</v>
      </c>
      <c r="G81" s="314">
        <v>0.188</v>
      </c>
      <c r="H81" s="311">
        <f>19/3</f>
        <v>6.333333333333333</v>
      </c>
    </row>
    <row r="82" spans="1:10" ht="16" thickBot="1">
      <c r="A82" s="343" t="s">
        <v>421</v>
      </c>
      <c r="B82" s="311">
        <f>81.65/31</f>
        <v>2.6338709677419359</v>
      </c>
      <c r="C82" s="308"/>
      <c r="D82" s="308"/>
      <c r="E82" s="308"/>
      <c r="F82" s="311">
        <f>3.8961+2.01</f>
        <v>5.9061000000000003</v>
      </c>
      <c r="G82" s="314">
        <v>0.30370000000000003</v>
      </c>
      <c r="H82" s="311">
        <f>30/3</f>
        <v>10</v>
      </c>
    </row>
    <row r="83" spans="1:10" ht="16" thickBot="1">
      <c r="A83" s="202" t="s">
        <v>220</v>
      </c>
      <c r="B83" s="308">
        <v>3.03</v>
      </c>
      <c r="C83" s="308"/>
      <c r="D83" s="308" t="s">
        <v>423</v>
      </c>
      <c r="E83" s="308"/>
      <c r="F83" s="311">
        <f>4.4289+2.01</f>
        <v>6.4388999999999994</v>
      </c>
      <c r="G83" s="314">
        <v>0.19589999999999999</v>
      </c>
      <c r="H83" s="311">
        <f>20/3</f>
        <v>6.666666666666667</v>
      </c>
    </row>
    <row r="84" spans="1:10" ht="16" thickBot="1">
      <c r="B84" s="312">
        <f>SUM(B82:B83)</f>
        <v>5.6638709677419357</v>
      </c>
      <c r="C84" s="313">
        <f>B84/C77</f>
        <v>0.6686978710439121</v>
      </c>
      <c r="D84" s="311">
        <f>C84/3*100</f>
        <v>22.289929034797069</v>
      </c>
      <c r="E84" s="311"/>
      <c r="G84"/>
    </row>
    <row r="85" spans="1:10" ht="16" thickBot="1">
      <c r="B85" s="311">
        <f>81.65/31</f>
        <v>2.6338709677419359</v>
      </c>
      <c r="C85" s="308"/>
      <c r="D85" s="308"/>
      <c r="E85" s="308"/>
      <c r="G85"/>
    </row>
    <row r="86" spans="1:10" ht="16" thickBot="1">
      <c r="A86" s="202" t="s">
        <v>223</v>
      </c>
      <c r="B86" s="308">
        <v>3.77</v>
      </c>
      <c r="C86" s="308"/>
      <c r="D86" s="308"/>
      <c r="E86" s="308"/>
      <c r="G86"/>
    </row>
    <row r="87" spans="1:10" ht="16" thickBot="1">
      <c r="B87" s="312">
        <f>SUM(B85:B86)</f>
        <v>6.4038709677419359</v>
      </c>
      <c r="C87" s="313">
        <f>B87/C77</f>
        <v>0.75606504932018126</v>
      </c>
      <c r="D87" s="311">
        <f>C87/3*100</f>
        <v>25.202168310672707</v>
      </c>
      <c r="E87" s="311"/>
      <c r="G87"/>
    </row>
    <row r="88" spans="1:10" ht="16" thickBot="1">
      <c r="B88" s="311">
        <f>81.65/31</f>
        <v>2.6338709677419359</v>
      </c>
      <c r="C88" s="308"/>
      <c r="D88" s="308"/>
      <c r="E88" s="308"/>
      <c r="G88">
        <v>5.77</v>
      </c>
      <c r="H88">
        <v>5.77</v>
      </c>
    </row>
    <row r="89" spans="1:10" ht="16" thickBot="1">
      <c r="A89" s="202" t="s">
        <v>214</v>
      </c>
      <c r="B89" s="308">
        <v>4.75</v>
      </c>
      <c r="C89" s="308"/>
      <c r="D89" s="308"/>
      <c r="E89" s="308"/>
      <c r="G89" s="338">
        <v>0.2</v>
      </c>
      <c r="H89">
        <v>20</v>
      </c>
      <c r="I89" s="293"/>
      <c r="J89" s="345">
        <f>22/31</f>
        <v>0.70967741935483875</v>
      </c>
    </row>
    <row r="90" spans="1:10" ht="16" thickBot="1">
      <c r="B90" s="312">
        <f>SUM(B88:B88)</f>
        <v>2.6338709677419359</v>
      </c>
      <c r="C90" s="313">
        <f>B90/C77</f>
        <v>0.310964695128918</v>
      </c>
      <c r="D90" s="311">
        <f>C90/3*100</f>
        <v>10.3654898376306</v>
      </c>
      <c r="E90" s="311"/>
      <c r="G90" s="338"/>
      <c r="H90">
        <f>20/5.77</f>
        <v>3.4662045060658579</v>
      </c>
      <c r="I90" s="293"/>
    </row>
    <row r="91" spans="1:10">
      <c r="B91" s="311"/>
      <c r="C91" s="313"/>
      <c r="D91" s="311"/>
      <c r="E91" s="311"/>
      <c r="G91" s="338"/>
      <c r="I91" s="293"/>
    </row>
  </sheetData>
  <mergeCells count="1">
    <mergeCell ref="A4:G4"/>
  </mergeCells>
  <pageMargins left="0.31" right="0.3" top="0.49" bottom="0.32" header="0.31496062992125984" footer="0.2"/>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N220"/>
  <sheetViews>
    <sheetView topLeftCell="B1" workbookViewId="0">
      <selection activeCell="N10" sqref="N10"/>
    </sheetView>
  </sheetViews>
  <sheetFormatPr baseColWidth="10" defaultColWidth="9.1640625" defaultRowHeight="14"/>
  <cols>
    <col min="1" max="1" width="4.5" style="148" hidden="1" customWidth="1"/>
    <col min="2" max="2" width="30" style="62" customWidth="1"/>
    <col min="3" max="3" width="35" style="62" customWidth="1"/>
    <col min="4" max="4" width="15.6640625" style="62" bestFit="1" customWidth="1"/>
    <col min="5" max="6" width="13.1640625" style="62" hidden="1" customWidth="1"/>
    <col min="7" max="7" width="15.33203125" style="62" customWidth="1"/>
    <col min="8" max="8" width="13.83203125" style="62" customWidth="1"/>
    <col min="9" max="9" width="15.5" style="62" customWidth="1"/>
    <col min="10" max="10" width="13.5" style="62" customWidth="1"/>
    <col min="11" max="11" width="2.33203125" style="13" customWidth="1"/>
    <col min="12" max="12" width="19.33203125" style="13" customWidth="1"/>
    <col min="13" max="13" width="9.83203125" style="13" bestFit="1" customWidth="1"/>
    <col min="14" max="16384" width="9.1640625" style="13"/>
  </cols>
  <sheetData>
    <row r="2" spans="1:14" ht="15" thickBot="1"/>
    <row r="3" spans="1:14" ht="31" thickBot="1">
      <c r="A3" s="3"/>
      <c r="B3" s="9"/>
      <c r="C3" s="10"/>
      <c r="D3" s="11"/>
      <c r="E3" s="12" t="s">
        <v>3</v>
      </c>
      <c r="F3" s="12" t="s">
        <v>4</v>
      </c>
      <c r="G3" s="12" t="s">
        <v>5</v>
      </c>
      <c r="H3" s="12" t="s">
        <v>32</v>
      </c>
      <c r="I3" s="12" t="s">
        <v>7</v>
      </c>
      <c r="J3" s="12" t="s">
        <v>8</v>
      </c>
    </row>
    <row r="4" spans="1:14" s="283" customFormat="1" ht="17" thickBot="1">
      <c r="A4" s="282"/>
      <c r="B4" s="948" t="s">
        <v>113</v>
      </c>
      <c r="C4" s="949"/>
      <c r="D4" s="950"/>
      <c r="E4" s="951" t="s">
        <v>113</v>
      </c>
      <c r="F4" s="952"/>
      <c r="G4" s="952"/>
      <c r="H4" s="952"/>
      <c r="I4" s="952"/>
      <c r="J4" s="952"/>
      <c r="L4" s="284"/>
    </row>
    <row r="5" spans="1:14" s="149" customFormat="1" ht="15" thickBot="1">
      <c r="C5" s="150"/>
      <c r="D5" s="151"/>
      <c r="E5" s="152"/>
      <c r="F5" s="152"/>
      <c r="G5" s="152"/>
      <c r="H5" s="151"/>
      <c r="I5" s="151"/>
      <c r="J5" s="151"/>
    </row>
    <row r="6" spans="1:14" s="149" customFormat="1" ht="31" thickBot="1">
      <c r="A6" s="153"/>
      <c r="B6" s="9" t="s">
        <v>2</v>
      </c>
      <c r="C6" s="10"/>
      <c r="D6" s="11"/>
      <c r="E6" s="64" t="s">
        <v>3</v>
      </c>
      <c r="F6" s="64" t="s">
        <v>4</v>
      </c>
      <c r="G6" s="64" t="s">
        <v>5</v>
      </c>
      <c r="H6" s="64" t="s">
        <v>6</v>
      </c>
      <c r="I6" s="64" t="s">
        <v>7</v>
      </c>
      <c r="J6" s="64" t="s">
        <v>8</v>
      </c>
      <c r="M6" s="279"/>
      <c r="N6" s="149" t="s">
        <v>423</v>
      </c>
    </row>
    <row r="7" spans="1:14" s="149" customFormat="1" ht="16" thickBot="1">
      <c r="A7" s="154"/>
      <c r="B7" s="155"/>
      <c r="C7" s="156" t="s">
        <v>114</v>
      </c>
      <c r="D7" s="157" t="s">
        <v>115</v>
      </c>
      <c r="E7" s="158">
        <v>53.5</v>
      </c>
      <c r="F7" s="159">
        <v>53.5</v>
      </c>
      <c r="G7" s="159">
        <v>58.85</v>
      </c>
      <c r="H7" s="160">
        <f>G7*11.94%+G7</f>
        <v>65.876689999999996</v>
      </c>
      <c r="I7" s="160">
        <f>H7*11.94%+H7</f>
        <v>73.742366785999991</v>
      </c>
      <c r="J7" s="160">
        <f>I7*11.94%+I7</f>
        <v>82.547205380248386</v>
      </c>
      <c r="K7" s="280">
        <f>+G7/F7</f>
        <v>1.1000000000000001</v>
      </c>
      <c r="L7" s="281" t="s">
        <v>424</v>
      </c>
      <c r="M7" s="289"/>
    </row>
    <row r="8" spans="1:14" s="149" customFormat="1" ht="16" thickBot="1">
      <c r="A8" s="154"/>
      <c r="B8" s="162"/>
      <c r="C8" s="163" t="s">
        <v>118</v>
      </c>
      <c r="D8" s="157"/>
      <c r="E8" s="164"/>
      <c r="F8" s="164"/>
      <c r="G8" s="159"/>
      <c r="H8" s="165"/>
      <c r="I8" s="165"/>
      <c r="J8" s="165"/>
      <c r="M8" s="279"/>
    </row>
    <row r="9" spans="1:14" s="149" customFormat="1" ht="31" thickBot="1">
      <c r="A9" s="154"/>
      <c r="B9" s="166">
        <v>2.1</v>
      </c>
      <c r="C9" s="156" t="s">
        <v>119</v>
      </c>
      <c r="D9" s="157" t="s">
        <v>120</v>
      </c>
      <c r="E9" s="164">
        <v>2.13</v>
      </c>
      <c r="F9" s="164">
        <v>2.2799999999999998</v>
      </c>
      <c r="G9" s="159">
        <v>2.508</v>
      </c>
      <c r="H9" s="160">
        <f>G9*10%+G9</f>
        <v>2.7587999999999999</v>
      </c>
      <c r="I9" s="161">
        <v>3.0346800000000007</v>
      </c>
      <c r="J9" s="161">
        <v>3.3381480000000012</v>
      </c>
      <c r="L9" s="186">
        <v>2.63</v>
      </c>
      <c r="M9" s="279">
        <f>L9/G9-100%</f>
        <v>4.8644338118022379E-2</v>
      </c>
      <c r="N9" s="316">
        <f>M9/3</f>
        <v>1.6214779372674126E-2</v>
      </c>
    </row>
    <row r="10" spans="1:14" s="149" customFormat="1" ht="31" thickBot="1">
      <c r="A10" s="154"/>
      <c r="B10" s="166">
        <v>2.2000000000000002</v>
      </c>
      <c r="C10" s="156" t="s">
        <v>121</v>
      </c>
      <c r="D10" s="157" t="s">
        <v>120</v>
      </c>
      <c r="E10" s="164">
        <v>2.75</v>
      </c>
      <c r="F10" s="164">
        <v>2.95</v>
      </c>
      <c r="G10" s="159">
        <v>3.2450000000000006</v>
      </c>
      <c r="H10" s="160">
        <v>3.569500000000001</v>
      </c>
      <c r="I10" s="161">
        <v>3.9264500000000013</v>
      </c>
      <c r="J10" s="161">
        <v>4.3190950000000017</v>
      </c>
      <c r="L10" s="186">
        <v>3.3855</v>
      </c>
      <c r="M10" s="279">
        <f t="shared" ref="M10:M24" si="0">L10/G10-100%</f>
        <v>4.329738058551591E-2</v>
      </c>
      <c r="N10" s="316">
        <f t="shared" ref="N10:N24" si="1">M10/3</f>
        <v>1.443246019517197E-2</v>
      </c>
    </row>
    <row r="11" spans="1:14" s="149" customFormat="1" ht="16" thickBot="1">
      <c r="A11" s="154"/>
      <c r="B11" s="166">
        <v>2.2999999999999998</v>
      </c>
      <c r="C11" s="156" t="s">
        <v>122</v>
      </c>
      <c r="D11" s="157" t="s">
        <v>120</v>
      </c>
      <c r="E11" s="164">
        <v>3.16</v>
      </c>
      <c r="F11" s="164">
        <v>3.38</v>
      </c>
      <c r="G11" s="159">
        <v>3.718</v>
      </c>
      <c r="H11" s="160">
        <v>4.0898000000000003</v>
      </c>
      <c r="I11" s="161">
        <v>4.4987800000000009</v>
      </c>
      <c r="J11" s="161">
        <v>4.9486580000000018</v>
      </c>
      <c r="L11" s="186">
        <v>3.8961000000000001</v>
      </c>
      <c r="M11" s="279">
        <f t="shared" si="0"/>
        <v>4.7902097902097873E-2</v>
      </c>
      <c r="N11" s="316">
        <f t="shared" si="1"/>
        <v>1.5967365967365959E-2</v>
      </c>
    </row>
    <row r="12" spans="1:14" s="149" customFormat="1" ht="16" thickBot="1">
      <c r="A12" s="154"/>
      <c r="B12" s="166">
        <v>2.4</v>
      </c>
      <c r="C12" s="156" t="s">
        <v>123</v>
      </c>
      <c r="D12" s="157" t="s">
        <v>120</v>
      </c>
      <c r="E12" s="164">
        <v>3.6</v>
      </c>
      <c r="F12" s="164">
        <v>3.85</v>
      </c>
      <c r="G12" s="159">
        <v>4.2350000000000003</v>
      </c>
      <c r="H12" s="160">
        <v>4.658500000000001</v>
      </c>
      <c r="I12" s="161">
        <v>5.1243500000000015</v>
      </c>
      <c r="J12" s="161">
        <v>5.6367850000000024</v>
      </c>
      <c r="L12" s="186">
        <v>4.4289000000000005</v>
      </c>
      <c r="M12" s="279">
        <f t="shared" si="0"/>
        <v>4.5785123966942232E-2</v>
      </c>
      <c r="N12" s="316">
        <f t="shared" si="1"/>
        <v>1.5261707988980744E-2</v>
      </c>
    </row>
    <row r="13" spans="1:14" s="149" customFormat="1" ht="16" thickBot="1">
      <c r="A13" s="153"/>
      <c r="B13" s="166">
        <v>2.5</v>
      </c>
      <c r="C13" s="156" t="s">
        <v>124</v>
      </c>
      <c r="D13" s="157" t="s">
        <v>120</v>
      </c>
      <c r="E13" s="164">
        <v>4.0199999999999996</v>
      </c>
      <c r="F13" s="164">
        <v>4.3</v>
      </c>
      <c r="G13" s="159">
        <v>4.7300000000000004</v>
      </c>
      <c r="H13" s="160">
        <v>5.2030000000000012</v>
      </c>
      <c r="I13" s="161">
        <v>5.7233000000000018</v>
      </c>
      <c r="J13" s="161">
        <v>6.2956300000000027</v>
      </c>
      <c r="L13" s="149">
        <v>4.6900000000000004</v>
      </c>
      <c r="M13" s="279">
        <f t="shared" si="0"/>
        <v>-8.4566596194503019E-3</v>
      </c>
      <c r="N13" s="316">
        <f t="shared" si="1"/>
        <v>-2.8188865398167673E-3</v>
      </c>
    </row>
    <row r="14" spans="1:14" s="149" customFormat="1" ht="16" thickBot="1">
      <c r="A14" s="153"/>
      <c r="B14" s="166">
        <v>2.6</v>
      </c>
      <c r="C14" s="156" t="s">
        <v>125</v>
      </c>
      <c r="D14" s="157" t="s">
        <v>120</v>
      </c>
      <c r="E14" s="164">
        <v>4</v>
      </c>
      <c r="F14" s="164">
        <v>4.28</v>
      </c>
      <c r="G14" s="159">
        <v>4.7080000000000011</v>
      </c>
      <c r="H14" s="160">
        <v>5.1788000000000016</v>
      </c>
      <c r="I14" s="161">
        <v>5.6966800000000024</v>
      </c>
      <c r="J14" s="161">
        <v>6.2663480000000034</v>
      </c>
      <c r="L14" s="149">
        <v>0</v>
      </c>
      <c r="M14" s="279"/>
      <c r="N14" s="316">
        <f t="shared" si="1"/>
        <v>0</v>
      </c>
    </row>
    <row r="15" spans="1:14" s="149" customFormat="1" ht="31" thickBot="1">
      <c r="A15" s="153"/>
      <c r="B15" s="166">
        <v>2.7</v>
      </c>
      <c r="C15" s="156" t="s">
        <v>126</v>
      </c>
      <c r="D15" s="157" t="s">
        <v>120</v>
      </c>
      <c r="E15" s="164">
        <v>4.2699999999999996</v>
      </c>
      <c r="F15" s="164">
        <v>4.57</v>
      </c>
      <c r="G15" s="159">
        <v>5.027000000000001</v>
      </c>
      <c r="H15" s="160">
        <v>5.5297000000000018</v>
      </c>
      <c r="I15" s="161">
        <v>6.0826700000000029</v>
      </c>
      <c r="J15" s="161">
        <v>6.6909370000000035</v>
      </c>
      <c r="L15" s="315">
        <v>4.9284000000000008</v>
      </c>
      <c r="M15" s="279">
        <f t="shared" si="0"/>
        <v>-1.9614083946687955E-2</v>
      </c>
      <c r="N15" s="316">
        <f t="shared" si="1"/>
        <v>-6.5380279822293179E-3</v>
      </c>
    </row>
    <row r="16" spans="1:14" s="149" customFormat="1" ht="31" thickBot="1">
      <c r="A16" s="153"/>
      <c r="B16" s="166">
        <v>2.8</v>
      </c>
      <c r="C16" s="156" t="s">
        <v>127</v>
      </c>
      <c r="D16" s="157" t="s">
        <v>115</v>
      </c>
      <c r="E16" s="164">
        <v>24.53</v>
      </c>
      <c r="F16" s="164">
        <v>26.24</v>
      </c>
      <c r="G16" s="159">
        <v>28.864000000000001</v>
      </c>
      <c r="H16" s="160">
        <v>31.750400000000003</v>
      </c>
      <c r="I16" s="161">
        <v>34.925440000000009</v>
      </c>
      <c r="J16" s="161">
        <v>38.417984000000011</v>
      </c>
      <c r="L16" s="315"/>
      <c r="M16" s="279"/>
      <c r="N16" s="316">
        <f t="shared" si="1"/>
        <v>0</v>
      </c>
    </row>
    <row r="17" spans="1:14" s="149" customFormat="1" ht="31" thickBot="1">
      <c r="A17" s="153"/>
      <c r="B17" s="166">
        <v>2.9</v>
      </c>
      <c r="C17" s="156" t="s">
        <v>128</v>
      </c>
      <c r="D17" s="157" t="s">
        <v>120</v>
      </c>
      <c r="E17" s="164">
        <v>2.4500000000000002</v>
      </c>
      <c r="F17" s="164">
        <v>2.62</v>
      </c>
      <c r="G17" s="159">
        <v>2.8820000000000006</v>
      </c>
      <c r="H17" s="160">
        <v>3.1702000000000008</v>
      </c>
      <c r="I17" s="161">
        <v>3.4872200000000011</v>
      </c>
      <c r="J17" s="161">
        <v>3.8359420000000015</v>
      </c>
      <c r="L17" s="315">
        <v>3.0303000000000004</v>
      </c>
      <c r="M17" s="279">
        <f t="shared" si="0"/>
        <v>5.1457321304649417E-2</v>
      </c>
      <c r="N17" s="316">
        <f>M17/3</f>
        <v>1.7152440434883138E-2</v>
      </c>
    </row>
    <row r="18" spans="1:14" s="149" customFormat="1" ht="16" thickBot="1">
      <c r="A18" s="153"/>
      <c r="B18" s="167" t="s">
        <v>129</v>
      </c>
      <c r="C18" s="156" t="s">
        <v>130</v>
      </c>
      <c r="D18" s="157" t="s">
        <v>120</v>
      </c>
      <c r="E18" s="164">
        <v>3.06</v>
      </c>
      <c r="F18" s="164">
        <v>3.27</v>
      </c>
      <c r="G18" s="159">
        <v>3.5970000000000004</v>
      </c>
      <c r="H18" s="160">
        <v>3.956700000000001</v>
      </c>
      <c r="I18" s="161">
        <v>4.3523700000000014</v>
      </c>
      <c r="J18" s="161">
        <v>4.7876070000000022</v>
      </c>
      <c r="L18" s="315">
        <v>3.774</v>
      </c>
      <c r="M18" s="279">
        <f t="shared" si="0"/>
        <v>4.9207673060883916E-2</v>
      </c>
      <c r="N18" s="316">
        <f t="shared" si="1"/>
        <v>1.6402557686961305E-2</v>
      </c>
    </row>
    <row r="19" spans="1:14" s="149" customFormat="1" ht="31" thickBot="1">
      <c r="A19" s="153"/>
      <c r="B19" s="166">
        <v>2.11</v>
      </c>
      <c r="C19" s="156" t="s">
        <v>131</v>
      </c>
      <c r="D19" s="157" t="s">
        <v>120</v>
      </c>
      <c r="E19" s="164">
        <v>3.84</v>
      </c>
      <c r="F19" s="164">
        <v>4.0999999999999996</v>
      </c>
      <c r="G19" s="159">
        <v>4.51</v>
      </c>
      <c r="H19" s="160">
        <v>4.9610000000000003</v>
      </c>
      <c r="I19" s="161">
        <v>5.4571000000000005</v>
      </c>
      <c r="J19" s="161">
        <v>6.0028100000000011</v>
      </c>
      <c r="L19" s="315">
        <v>4.7508000000000008</v>
      </c>
      <c r="M19" s="279">
        <f t="shared" si="0"/>
        <v>5.3392461197339536E-2</v>
      </c>
      <c r="N19" s="316">
        <f t="shared" si="1"/>
        <v>1.7797487065779844E-2</v>
      </c>
    </row>
    <row r="20" spans="1:14" s="149" customFormat="1" ht="31" thickBot="1">
      <c r="A20" s="153"/>
      <c r="B20" s="317">
        <v>2.12</v>
      </c>
      <c r="C20" s="318" t="s">
        <v>132</v>
      </c>
      <c r="D20" s="319" t="s">
        <v>115</v>
      </c>
      <c r="E20" s="320">
        <v>50.5</v>
      </c>
      <c r="F20" s="320">
        <v>54.03</v>
      </c>
      <c r="G20" s="321">
        <v>59.433000000000007</v>
      </c>
      <c r="H20" s="322">
        <v>65.376300000000015</v>
      </c>
      <c r="I20" s="278">
        <v>71.913930000000022</v>
      </c>
      <c r="J20" s="278">
        <v>79.105323000000027</v>
      </c>
      <c r="M20" s="279"/>
      <c r="N20" s="316">
        <f t="shared" si="1"/>
        <v>0</v>
      </c>
    </row>
    <row r="21" spans="1:14" s="149" customFormat="1" ht="31" thickBot="1">
      <c r="A21" s="153"/>
      <c r="B21" s="317">
        <v>2.13</v>
      </c>
      <c r="C21" s="318" t="s">
        <v>133</v>
      </c>
      <c r="D21" s="319" t="s">
        <v>115</v>
      </c>
      <c r="E21" s="320">
        <v>66.36</v>
      </c>
      <c r="F21" s="320">
        <v>71</v>
      </c>
      <c r="G21" s="321">
        <v>78.100000000000009</v>
      </c>
      <c r="H21" s="322">
        <v>85.910000000000011</v>
      </c>
      <c r="I21" s="278">
        <v>94.501000000000019</v>
      </c>
      <c r="J21" s="278">
        <v>103.95110000000003</v>
      </c>
      <c r="L21" s="315">
        <v>81.651600000000016</v>
      </c>
      <c r="M21" s="279">
        <f t="shared" si="0"/>
        <v>4.5475032010243277E-2</v>
      </c>
      <c r="N21" s="316">
        <f t="shared" si="1"/>
        <v>1.5158344003414426E-2</v>
      </c>
    </row>
    <row r="22" spans="1:14" s="149" customFormat="1" ht="16" thickBot="1">
      <c r="A22" s="153"/>
      <c r="B22" s="155"/>
      <c r="C22" s="163" t="s">
        <v>134</v>
      </c>
      <c r="D22" s="157"/>
      <c r="E22" s="164"/>
      <c r="F22" s="164"/>
      <c r="G22" s="159"/>
      <c r="H22" s="165"/>
      <c r="I22" s="165"/>
      <c r="J22" s="165"/>
      <c r="M22" s="279"/>
      <c r="N22" s="316">
        <f t="shared" si="1"/>
        <v>0</v>
      </c>
    </row>
    <row r="23" spans="1:14" s="149" customFormat="1" ht="16" thickBot="1">
      <c r="A23" s="154"/>
      <c r="B23" s="155">
        <v>2.14</v>
      </c>
      <c r="C23" s="156" t="s">
        <v>135</v>
      </c>
      <c r="D23" s="157" t="s">
        <v>115</v>
      </c>
      <c r="E23" s="164">
        <v>44.85</v>
      </c>
      <c r="F23" s="164">
        <v>48</v>
      </c>
      <c r="G23" s="159">
        <v>52.800000000000004</v>
      </c>
      <c r="H23" s="160">
        <v>58.080000000000013</v>
      </c>
      <c r="I23" s="161">
        <v>63.888000000000019</v>
      </c>
      <c r="J23" s="161">
        <v>70.276800000000023</v>
      </c>
      <c r="L23" s="323">
        <v>55.266900000000007</v>
      </c>
      <c r="M23" s="279">
        <f t="shared" si="0"/>
        <v>4.6721590909091004E-2</v>
      </c>
      <c r="N23" s="316">
        <f t="shared" si="1"/>
        <v>1.5573863636363669E-2</v>
      </c>
    </row>
    <row r="24" spans="1:14" s="149" customFormat="1" ht="16" thickBot="1">
      <c r="A24" s="154"/>
      <c r="B24" s="155">
        <v>2.15</v>
      </c>
      <c r="C24" s="156" t="s">
        <v>136</v>
      </c>
      <c r="D24" s="157" t="s">
        <v>115</v>
      </c>
      <c r="E24" s="164">
        <v>44.85</v>
      </c>
      <c r="F24" s="164">
        <v>48</v>
      </c>
      <c r="G24" s="159">
        <v>52.800000000000004</v>
      </c>
      <c r="H24" s="160">
        <v>58.080000000000013</v>
      </c>
      <c r="I24" s="161">
        <v>63.888000000000019</v>
      </c>
      <c r="J24" s="161">
        <v>70.276800000000023</v>
      </c>
      <c r="L24" s="323">
        <v>55.266900000000007</v>
      </c>
      <c r="M24" s="279">
        <f t="shared" si="0"/>
        <v>4.6721590909091004E-2</v>
      </c>
      <c r="N24" s="316">
        <f t="shared" si="1"/>
        <v>1.5573863636363669E-2</v>
      </c>
    </row>
    <row r="25" spans="1:14" s="149" customFormat="1" ht="31" thickBot="1">
      <c r="A25" s="154"/>
      <c r="B25" s="155">
        <v>2.16</v>
      </c>
      <c r="C25" s="156" t="s">
        <v>137</v>
      </c>
      <c r="D25" s="157" t="s">
        <v>115</v>
      </c>
      <c r="E25" s="164">
        <v>44.85</v>
      </c>
      <c r="F25" s="164">
        <v>48</v>
      </c>
      <c r="G25" s="159">
        <v>52.800000000000004</v>
      </c>
      <c r="H25" s="160">
        <v>58.080000000000013</v>
      </c>
      <c r="I25" s="161">
        <v>63.888000000000019</v>
      </c>
      <c r="J25" s="161">
        <v>70.276800000000023</v>
      </c>
    </row>
    <row r="26" spans="1:14" s="149" customFormat="1" ht="16" thickBot="1">
      <c r="A26" s="154"/>
      <c r="B26" s="155">
        <v>2.17</v>
      </c>
      <c r="C26" s="156" t="s">
        <v>138</v>
      </c>
      <c r="D26" s="157" t="s">
        <v>115</v>
      </c>
      <c r="E26" s="164">
        <v>44.85</v>
      </c>
      <c r="F26" s="164">
        <v>48</v>
      </c>
      <c r="G26" s="159">
        <v>52.800000000000004</v>
      </c>
      <c r="H26" s="160">
        <v>58.080000000000013</v>
      </c>
      <c r="I26" s="161">
        <v>63.888000000000019</v>
      </c>
      <c r="J26" s="161">
        <v>70.276800000000023</v>
      </c>
    </row>
    <row r="27" spans="1:14" s="149" customFormat="1" ht="15" thickBot="1">
      <c r="A27" s="153"/>
      <c r="B27" s="168" t="s">
        <v>139</v>
      </c>
      <c r="C27" s="150"/>
      <c r="D27" s="151"/>
      <c r="E27" s="152"/>
      <c r="F27" s="152"/>
      <c r="G27" s="152"/>
      <c r="H27" s="151"/>
      <c r="I27" s="151"/>
      <c r="J27" s="151"/>
    </row>
    <row r="28" spans="1:14" s="149" customFormat="1" ht="76" thickBot="1">
      <c r="A28" s="153"/>
      <c r="B28" s="162">
        <v>2.1800000000000002</v>
      </c>
      <c r="C28" s="156" t="s">
        <v>140</v>
      </c>
      <c r="D28" s="165"/>
      <c r="E28" s="169">
        <v>1</v>
      </c>
      <c r="F28" s="170">
        <v>1</v>
      </c>
      <c r="G28" s="170">
        <v>1</v>
      </c>
      <c r="H28" s="170">
        <v>1</v>
      </c>
      <c r="I28" s="170">
        <v>1</v>
      </c>
      <c r="J28" s="170">
        <v>1.1000000000000001</v>
      </c>
    </row>
    <row r="30" spans="1:14" s="149" customFormat="1">
      <c r="A30" s="153"/>
      <c r="B30" s="61" t="s">
        <v>29</v>
      </c>
      <c r="C30" s="171"/>
      <c r="D30" s="172"/>
      <c r="E30" s="173"/>
      <c r="F30" s="173"/>
      <c r="G30" s="174"/>
      <c r="H30" s="175"/>
      <c r="I30" s="175"/>
      <c r="J30" s="175"/>
    </row>
    <row r="31" spans="1:14" s="149" customFormat="1" ht="15" thickBot="1">
      <c r="A31" s="153"/>
      <c r="B31" s="176"/>
      <c r="C31" s="150"/>
      <c r="D31" s="151"/>
      <c r="E31" s="152"/>
      <c r="F31" s="152"/>
      <c r="G31" s="152"/>
      <c r="H31" s="151"/>
      <c r="I31" s="151"/>
      <c r="J31" s="151"/>
    </row>
    <row r="32" spans="1:14" ht="31" thickBot="1">
      <c r="A32" s="3"/>
      <c r="B32" s="177" t="s">
        <v>141</v>
      </c>
      <c r="C32" s="10"/>
      <c r="D32" s="11"/>
      <c r="E32" s="12" t="s">
        <v>3</v>
      </c>
      <c r="F32" s="12" t="s">
        <v>4</v>
      </c>
      <c r="G32" s="12" t="s">
        <v>5</v>
      </c>
      <c r="H32" s="12" t="s">
        <v>32</v>
      </c>
      <c r="I32" s="12" t="s">
        <v>7</v>
      </c>
      <c r="J32" s="12" t="s">
        <v>8</v>
      </c>
    </row>
    <row r="33" spans="1:10" ht="15" thickBot="1">
      <c r="A33" s="3"/>
      <c r="B33" s="981" t="s">
        <v>113</v>
      </c>
      <c r="C33" s="982"/>
      <c r="D33" s="983"/>
      <c r="E33" s="984" t="s">
        <v>113</v>
      </c>
      <c r="F33" s="985"/>
      <c r="G33" s="985"/>
      <c r="H33" s="985"/>
      <c r="I33" s="985"/>
      <c r="J33" s="985"/>
    </row>
    <row r="34" spans="1:10" s="149" customFormat="1" ht="15" thickBot="1">
      <c r="A34" s="153"/>
      <c r="C34" s="150"/>
      <c r="D34" s="151"/>
      <c r="E34" s="152"/>
      <c r="F34" s="152"/>
      <c r="G34" s="152"/>
      <c r="H34" s="151"/>
      <c r="I34" s="151"/>
      <c r="J34" s="151"/>
    </row>
    <row r="35" spans="1:10" s="149" customFormat="1" ht="31" thickBot="1">
      <c r="A35" s="153"/>
      <c r="B35" s="178">
        <v>3.1</v>
      </c>
      <c r="C35" s="179" t="s">
        <v>142</v>
      </c>
      <c r="D35" s="165"/>
      <c r="E35" s="984" t="s">
        <v>143</v>
      </c>
      <c r="F35" s="985"/>
      <c r="G35" s="985"/>
      <c r="H35" s="985"/>
      <c r="I35" s="985"/>
      <c r="J35" s="985"/>
    </row>
    <row r="36" spans="1:10" s="149" customFormat="1" ht="61" thickBot="1">
      <c r="A36" s="168"/>
      <c r="B36" s="178" t="s">
        <v>144</v>
      </c>
      <c r="C36" s="155" t="s">
        <v>145</v>
      </c>
      <c r="D36" s="165"/>
      <c r="E36" s="180"/>
      <c r="F36" s="180"/>
      <c r="G36" s="181"/>
      <c r="H36" s="165"/>
      <c r="I36" s="165"/>
      <c r="J36" s="165"/>
    </row>
    <row r="37" spans="1:10" s="149" customFormat="1" ht="16" thickBot="1">
      <c r="A37" s="154"/>
      <c r="B37" s="182" t="s">
        <v>146</v>
      </c>
      <c r="C37" s="183" t="s">
        <v>147</v>
      </c>
      <c r="D37" s="184"/>
      <c r="E37" s="185">
        <v>57.2</v>
      </c>
      <c r="F37" s="185">
        <v>61.2</v>
      </c>
      <c r="G37" s="186">
        <v>67.320000000000007</v>
      </c>
      <c r="H37" s="161">
        <v>74.052000000000021</v>
      </c>
      <c r="I37" s="161">
        <v>81.457200000000029</v>
      </c>
      <c r="J37" s="161">
        <v>89.60292000000004</v>
      </c>
    </row>
    <row r="38" spans="1:10" s="149" customFormat="1" ht="31" thickBot="1">
      <c r="A38" s="154"/>
      <c r="B38" s="182" t="s">
        <v>148</v>
      </c>
      <c r="C38" s="183" t="s">
        <v>149</v>
      </c>
      <c r="D38" s="184"/>
      <c r="E38" s="187"/>
      <c r="F38" s="187"/>
      <c r="G38" s="188"/>
      <c r="H38" s="165"/>
      <c r="I38" s="165"/>
      <c r="J38" s="165"/>
    </row>
    <row r="39" spans="1:10" s="149" customFormat="1" ht="16" thickBot="1">
      <c r="A39" s="154"/>
      <c r="B39" s="155" t="s">
        <v>150</v>
      </c>
      <c r="C39" s="156" t="s">
        <v>151</v>
      </c>
      <c r="D39" s="189"/>
      <c r="E39" s="185">
        <v>2231</v>
      </c>
      <c r="F39" s="185">
        <v>2387.17</v>
      </c>
      <c r="G39" s="186">
        <v>2625.8870000000002</v>
      </c>
      <c r="H39" s="161">
        <v>2888.4757000000004</v>
      </c>
      <c r="I39" s="161">
        <v>3177.3232700000008</v>
      </c>
      <c r="J39" s="161">
        <v>3495.0555970000009</v>
      </c>
    </row>
    <row r="40" spans="1:10" s="149" customFormat="1" ht="31" thickBot="1">
      <c r="A40" s="154"/>
      <c r="B40" s="155" t="s">
        <v>152</v>
      </c>
      <c r="C40" s="156" t="s">
        <v>153</v>
      </c>
      <c r="D40" s="189"/>
      <c r="E40" s="187"/>
      <c r="F40" s="187"/>
      <c r="G40" s="188"/>
      <c r="H40" s="165"/>
      <c r="I40" s="165"/>
      <c r="J40" s="165"/>
    </row>
    <row r="41" spans="1:10" s="149" customFormat="1" ht="16" thickBot="1">
      <c r="A41" s="154"/>
      <c r="B41" s="155" t="s">
        <v>146</v>
      </c>
      <c r="C41" s="190" t="s">
        <v>154</v>
      </c>
      <c r="D41" s="189"/>
      <c r="E41" s="185">
        <v>126</v>
      </c>
      <c r="F41" s="185">
        <v>134.82</v>
      </c>
      <c r="G41" s="186">
        <v>148.30199999999999</v>
      </c>
      <c r="H41" s="161">
        <v>163.13220000000001</v>
      </c>
      <c r="I41" s="161">
        <v>179.44542000000004</v>
      </c>
      <c r="J41" s="161">
        <v>197.38996200000005</v>
      </c>
    </row>
    <row r="42" spans="1:10" s="149" customFormat="1" ht="31" thickBot="1">
      <c r="A42" s="154"/>
      <c r="B42" s="155" t="s">
        <v>148</v>
      </c>
      <c r="C42" s="190" t="s">
        <v>155</v>
      </c>
      <c r="D42" s="189"/>
      <c r="E42" s="185">
        <v>60</v>
      </c>
      <c r="F42" s="185">
        <v>64.2</v>
      </c>
      <c r="G42" s="186">
        <v>70.62</v>
      </c>
      <c r="H42" s="161">
        <v>77.682000000000016</v>
      </c>
      <c r="I42" s="161">
        <v>85.450200000000024</v>
      </c>
      <c r="J42" s="161">
        <v>93.995220000000032</v>
      </c>
    </row>
    <row r="43" spans="1:10" s="149" customFormat="1" ht="31" thickBot="1">
      <c r="A43" s="154"/>
      <c r="B43" s="155" t="s">
        <v>156</v>
      </c>
      <c r="C43" s="190" t="s">
        <v>157</v>
      </c>
      <c r="D43" s="189"/>
      <c r="E43" s="185">
        <v>45</v>
      </c>
      <c r="F43" s="185">
        <v>48.15</v>
      </c>
      <c r="G43" s="186">
        <v>52.965000000000003</v>
      </c>
      <c r="H43" s="161">
        <v>58.261500000000005</v>
      </c>
      <c r="I43" s="161">
        <v>64.087650000000011</v>
      </c>
      <c r="J43" s="161">
        <v>70.496415000000013</v>
      </c>
    </row>
    <row r="44" spans="1:10" s="149" customFormat="1" ht="16" thickBot="1">
      <c r="A44" s="154"/>
      <c r="B44" s="155" t="s">
        <v>158</v>
      </c>
      <c r="C44" s="156" t="s">
        <v>159</v>
      </c>
      <c r="D44" s="189"/>
      <c r="E44" s="185">
        <v>65</v>
      </c>
      <c r="F44" s="185">
        <v>69.55</v>
      </c>
      <c r="G44" s="186">
        <v>76.50500000000001</v>
      </c>
      <c r="H44" s="161">
        <v>84.155500000000018</v>
      </c>
      <c r="I44" s="161">
        <v>92.571050000000028</v>
      </c>
      <c r="J44" s="161">
        <v>101.82815500000004</v>
      </c>
    </row>
    <row r="45" spans="1:10" s="149" customFormat="1" ht="16" thickBot="1">
      <c r="A45" s="154"/>
      <c r="B45" s="182" t="s">
        <v>156</v>
      </c>
      <c r="C45" s="183" t="s">
        <v>160</v>
      </c>
      <c r="D45" s="184"/>
      <c r="E45" s="185">
        <v>250</v>
      </c>
      <c r="F45" s="185">
        <v>267.5</v>
      </c>
      <c r="G45" s="186">
        <v>294.25</v>
      </c>
      <c r="H45" s="161">
        <v>323.67500000000001</v>
      </c>
      <c r="I45" s="161">
        <v>356.04250000000002</v>
      </c>
      <c r="J45" s="161">
        <v>391.64675000000005</v>
      </c>
    </row>
    <row r="46" spans="1:10" s="149" customFormat="1" ht="16" thickBot="1">
      <c r="A46" s="154"/>
      <c r="B46" s="182" t="s">
        <v>161</v>
      </c>
      <c r="C46" s="183" t="s">
        <v>162</v>
      </c>
      <c r="D46" s="184"/>
      <c r="E46" s="187"/>
      <c r="F46" s="187"/>
      <c r="G46" s="186"/>
      <c r="H46" s="161"/>
      <c r="I46" s="161"/>
      <c r="J46" s="161"/>
    </row>
    <row r="47" spans="1:10" s="149" customFormat="1" ht="16" thickBot="1">
      <c r="A47" s="154"/>
      <c r="B47" s="155" t="s">
        <v>150</v>
      </c>
      <c r="C47" s="156" t="s">
        <v>163</v>
      </c>
      <c r="D47" s="189"/>
      <c r="E47" s="185">
        <v>122.1</v>
      </c>
      <c r="F47" s="185">
        <v>130.65</v>
      </c>
      <c r="G47" s="186">
        <v>143.71500000000003</v>
      </c>
      <c r="H47" s="161">
        <v>158.08650000000006</v>
      </c>
      <c r="I47" s="161">
        <v>173.89515000000009</v>
      </c>
      <c r="J47" s="161">
        <v>191.2846650000001</v>
      </c>
    </row>
    <row r="48" spans="1:10" s="149" customFormat="1" ht="16" thickBot="1">
      <c r="A48" s="154"/>
      <c r="B48" s="155" t="s">
        <v>152</v>
      </c>
      <c r="C48" s="156" t="s">
        <v>164</v>
      </c>
      <c r="D48" s="189"/>
      <c r="E48" s="185">
        <v>57</v>
      </c>
      <c r="F48" s="185">
        <v>70</v>
      </c>
      <c r="G48" s="186">
        <v>77</v>
      </c>
      <c r="H48" s="161">
        <v>84.7</v>
      </c>
      <c r="I48" s="161">
        <v>93.170000000000016</v>
      </c>
      <c r="J48" s="161">
        <v>102.48700000000002</v>
      </c>
    </row>
    <row r="49" spans="1:10" s="149" customFormat="1" ht="31" thickBot="1">
      <c r="A49" s="154"/>
      <c r="B49" s="155" t="s">
        <v>158</v>
      </c>
      <c r="C49" s="156" t="s">
        <v>165</v>
      </c>
      <c r="D49" s="189"/>
      <c r="E49" s="185">
        <v>43</v>
      </c>
      <c r="F49" s="185">
        <v>46</v>
      </c>
      <c r="G49" s="186">
        <v>50.6</v>
      </c>
      <c r="H49" s="161">
        <v>55.660000000000004</v>
      </c>
      <c r="I49" s="161">
        <v>61.226000000000006</v>
      </c>
      <c r="J49" s="161">
        <v>67.348600000000019</v>
      </c>
    </row>
    <row r="50" spans="1:10" s="149" customFormat="1" ht="16" thickBot="1">
      <c r="A50" s="154"/>
      <c r="B50" s="182" t="s">
        <v>166</v>
      </c>
      <c r="C50" s="183" t="s">
        <v>167</v>
      </c>
      <c r="D50" s="184"/>
      <c r="E50" s="187"/>
      <c r="F50" s="187"/>
      <c r="G50" s="191"/>
      <c r="H50" s="165"/>
      <c r="I50" s="165"/>
      <c r="J50" s="165"/>
    </row>
    <row r="51" spans="1:10" s="149" customFormat="1" ht="16" thickBot="1">
      <c r="A51" s="154"/>
      <c r="B51" s="155"/>
      <c r="C51" s="156" t="s">
        <v>168</v>
      </c>
      <c r="D51" s="189"/>
      <c r="E51" s="185">
        <v>6.6</v>
      </c>
      <c r="F51" s="185">
        <v>7.06</v>
      </c>
      <c r="G51" s="186">
        <v>7.766</v>
      </c>
      <c r="H51" s="161">
        <v>8.5426000000000002</v>
      </c>
      <c r="I51" s="161">
        <v>9.3968600000000002</v>
      </c>
      <c r="J51" s="161">
        <v>10.336546</v>
      </c>
    </row>
    <row r="52" spans="1:10" s="149" customFormat="1" ht="61" thickBot="1">
      <c r="A52" s="154"/>
      <c r="B52" s="155"/>
      <c r="C52" s="156" t="s">
        <v>169</v>
      </c>
      <c r="D52" s="189"/>
      <c r="E52" s="187"/>
      <c r="F52" s="187"/>
      <c r="G52" s="191"/>
      <c r="H52" s="165"/>
      <c r="I52" s="165"/>
      <c r="J52" s="165"/>
    </row>
    <row r="53" spans="1:10" s="149" customFormat="1" ht="16" thickBot="1">
      <c r="A53" s="154"/>
      <c r="B53" s="182" t="s">
        <v>170</v>
      </c>
      <c r="C53" s="183" t="s">
        <v>171</v>
      </c>
      <c r="D53" s="184"/>
      <c r="E53" s="187"/>
      <c r="F53" s="187"/>
      <c r="G53" s="191"/>
      <c r="H53" s="165"/>
      <c r="I53" s="165"/>
      <c r="J53" s="165"/>
    </row>
    <row r="54" spans="1:10" s="149" customFormat="1" ht="31" thickBot="1">
      <c r="A54" s="154"/>
      <c r="B54" s="182" t="s">
        <v>146</v>
      </c>
      <c r="C54" s="156" t="s">
        <v>172</v>
      </c>
      <c r="D54" s="189"/>
      <c r="E54" s="185">
        <v>420</v>
      </c>
      <c r="F54" s="185">
        <v>449.4</v>
      </c>
      <c r="G54" s="186">
        <v>494.34000000000003</v>
      </c>
      <c r="H54" s="161">
        <v>543.77400000000011</v>
      </c>
      <c r="I54" s="161">
        <v>598.15140000000019</v>
      </c>
      <c r="J54" s="161">
        <v>657.96654000000024</v>
      </c>
    </row>
    <row r="55" spans="1:10" s="149" customFormat="1" ht="31" thickBot="1">
      <c r="A55" s="154"/>
      <c r="B55" s="182" t="s">
        <v>148</v>
      </c>
      <c r="C55" s="156" t="s">
        <v>173</v>
      </c>
      <c r="D55" s="189"/>
      <c r="E55" s="185">
        <v>630</v>
      </c>
      <c r="F55" s="185">
        <v>674.1</v>
      </c>
      <c r="G55" s="186">
        <v>741.5100000000001</v>
      </c>
      <c r="H55" s="161">
        <v>815.66100000000017</v>
      </c>
      <c r="I55" s="161">
        <v>897.22710000000029</v>
      </c>
      <c r="J55" s="161">
        <v>986.94981000000041</v>
      </c>
    </row>
    <row r="56" spans="1:10" s="149" customFormat="1" ht="15" thickBot="1">
      <c r="A56" s="154"/>
      <c r="B56" s="155"/>
      <c r="C56" s="156"/>
      <c r="D56" s="189"/>
      <c r="E56" s="187"/>
      <c r="F56" s="187"/>
      <c r="G56" s="191"/>
      <c r="H56" s="165"/>
      <c r="I56" s="165"/>
      <c r="J56" s="165"/>
    </row>
    <row r="57" spans="1:10" s="149" customFormat="1" ht="16" thickBot="1">
      <c r="A57" s="154"/>
      <c r="B57" s="182" t="s">
        <v>174</v>
      </c>
      <c r="C57" s="183" t="s">
        <v>175</v>
      </c>
      <c r="D57" s="184"/>
      <c r="E57" s="187"/>
      <c r="F57" s="187"/>
      <c r="G57" s="191"/>
      <c r="H57" s="165"/>
      <c r="I57" s="165"/>
      <c r="J57" s="165"/>
    </row>
    <row r="58" spans="1:10" s="149" customFormat="1" ht="31" thickBot="1">
      <c r="A58" s="154"/>
      <c r="B58" s="155"/>
      <c r="C58" s="156" t="s">
        <v>176</v>
      </c>
      <c r="D58" s="189"/>
      <c r="E58" s="185">
        <v>105</v>
      </c>
      <c r="F58" s="185">
        <v>112.35</v>
      </c>
      <c r="G58" s="186">
        <v>123.58500000000001</v>
      </c>
      <c r="H58" s="161">
        <v>135.94350000000003</v>
      </c>
      <c r="I58" s="161">
        <v>149.53785000000005</v>
      </c>
      <c r="J58" s="161">
        <v>164.49163500000006</v>
      </c>
    </row>
    <row r="59" spans="1:10" s="149" customFormat="1" ht="15" thickBot="1">
      <c r="A59" s="154"/>
      <c r="B59" s="155"/>
      <c r="C59" s="156"/>
      <c r="D59" s="189"/>
      <c r="E59" s="187"/>
      <c r="F59" s="187"/>
      <c r="G59" s="191"/>
      <c r="H59" s="165"/>
      <c r="I59" s="165"/>
      <c r="J59" s="165"/>
    </row>
    <row r="60" spans="1:10" s="149" customFormat="1" ht="16" thickBot="1">
      <c r="A60" s="154"/>
      <c r="B60" s="182" t="s">
        <v>177</v>
      </c>
      <c r="C60" s="183" t="s">
        <v>178</v>
      </c>
      <c r="D60" s="184"/>
      <c r="E60" s="187"/>
      <c r="F60" s="187"/>
      <c r="G60" s="191"/>
      <c r="H60" s="165"/>
      <c r="I60" s="165"/>
      <c r="J60" s="165"/>
    </row>
    <row r="61" spans="1:10" s="149" customFormat="1" ht="16" thickBot="1">
      <c r="A61" s="154"/>
      <c r="B61" s="155"/>
      <c r="C61" s="156" t="s">
        <v>179</v>
      </c>
      <c r="D61" s="189"/>
      <c r="E61" s="187"/>
      <c r="F61" s="187"/>
      <c r="G61" s="191"/>
      <c r="H61" s="165"/>
      <c r="I61" s="165"/>
      <c r="J61" s="165"/>
    </row>
    <row r="62" spans="1:10" s="149" customFormat="1" ht="31" thickBot="1">
      <c r="A62" s="154"/>
      <c r="B62" s="182" t="s">
        <v>146</v>
      </c>
      <c r="C62" s="156" t="s">
        <v>180</v>
      </c>
      <c r="D62" s="189"/>
      <c r="E62" s="185">
        <v>265</v>
      </c>
      <c r="F62" s="185">
        <v>283.55</v>
      </c>
      <c r="G62" s="186">
        <v>311.90500000000003</v>
      </c>
      <c r="H62" s="161">
        <v>343.09550000000007</v>
      </c>
      <c r="I62" s="161">
        <v>377.40505000000013</v>
      </c>
      <c r="J62" s="161">
        <v>415.14555500000017</v>
      </c>
    </row>
    <row r="63" spans="1:10" s="149" customFormat="1" ht="31" thickBot="1">
      <c r="A63" s="154"/>
      <c r="B63" s="182" t="s">
        <v>148</v>
      </c>
      <c r="C63" s="156" t="s">
        <v>181</v>
      </c>
      <c r="D63" s="189"/>
      <c r="E63" s="185">
        <v>2890</v>
      </c>
      <c r="F63" s="185">
        <v>3092.3</v>
      </c>
      <c r="G63" s="186">
        <v>3401.5300000000007</v>
      </c>
      <c r="H63" s="161">
        <v>3741.6830000000009</v>
      </c>
      <c r="I63" s="161">
        <v>4115.8513000000012</v>
      </c>
      <c r="J63" s="161">
        <v>4527.4364300000016</v>
      </c>
    </row>
    <row r="64" spans="1:10" s="149" customFormat="1" ht="31" thickBot="1">
      <c r="A64" s="154"/>
      <c r="B64" s="182" t="s">
        <v>156</v>
      </c>
      <c r="C64" s="156" t="s">
        <v>182</v>
      </c>
      <c r="D64" s="189"/>
      <c r="E64" s="185">
        <v>265</v>
      </c>
      <c r="F64" s="185">
        <v>283.55</v>
      </c>
      <c r="G64" s="186">
        <v>311.90500000000003</v>
      </c>
      <c r="H64" s="161">
        <v>343.09550000000007</v>
      </c>
      <c r="I64" s="161">
        <v>377.40505000000013</v>
      </c>
      <c r="J64" s="161">
        <v>415.14555500000017</v>
      </c>
    </row>
    <row r="65" spans="1:10" s="149" customFormat="1" ht="15" thickBot="1">
      <c r="A65" s="154"/>
      <c r="B65" s="182"/>
      <c r="C65" s="156"/>
      <c r="D65" s="189"/>
      <c r="E65" s="185"/>
      <c r="F65" s="185"/>
      <c r="G65" s="191"/>
      <c r="H65" s="165"/>
      <c r="I65" s="165"/>
      <c r="J65" s="165"/>
    </row>
    <row r="66" spans="1:10" s="149" customFormat="1" ht="31" thickBot="1">
      <c r="A66" s="153"/>
      <c r="B66" s="178" t="s">
        <v>183</v>
      </c>
      <c r="C66" s="179" t="s">
        <v>184</v>
      </c>
      <c r="D66" s="165"/>
      <c r="E66" s="187"/>
      <c r="F66" s="187"/>
      <c r="G66" s="191"/>
      <c r="H66" s="165"/>
      <c r="I66" s="165"/>
      <c r="J66" s="165"/>
    </row>
    <row r="67" spans="1:10" s="149" customFormat="1" ht="16" thickBot="1">
      <c r="A67" s="154"/>
      <c r="B67" s="182" t="s">
        <v>146</v>
      </c>
      <c r="C67" s="190" t="s">
        <v>185</v>
      </c>
      <c r="D67" s="189"/>
      <c r="E67" s="185">
        <v>15</v>
      </c>
      <c r="F67" s="185">
        <v>16.05</v>
      </c>
      <c r="G67" s="186">
        <v>17.655000000000001</v>
      </c>
      <c r="H67" s="161">
        <v>19.420500000000004</v>
      </c>
      <c r="I67" s="161">
        <v>21.362550000000006</v>
      </c>
      <c r="J67" s="161">
        <v>23.498805000000008</v>
      </c>
    </row>
    <row r="68" spans="1:10" s="149" customFormat="1" ht="16" thickBot="1">
      <c r="A68" s="154"/>
      <c r="B68" s="182" t="s">
        <v>148</v>
      </c>
      <c r="C68" s="190" t="s">
        <v>186</v>
      </c>
      <c r="D68" s="189"/>
      <c r="E68" s="185">
        <v>32</v>
      </c>
      <c r="F68" s="185">
        <v>34.24</v>
      </c>
      <c r="G68" s="186">
        <v>37.664000000000009</v>
      </c>
      <c r="H68" s="161">
        <v>41.430400000000013</v>
      </c>
      <c r="I68" s="161">
        <v>45.573440000000019</v>
      </c>
      <c r="J68" s="161">
        <v>50.130784000000027</v>
      </c>
    </row>
    <row r="69" spans="1:10" s="149" customFormat="1" ht="16" thickBot="1">
      <c r="A69" s="154"/>
      <c r="B69" s="182" t="s">
        <v>156</v>
      </c>
      <c r="C69" s="190" t="s">
        <v>44</v>
      </c>
      <c r="D69" s="189"/>
      <c r="E69" s="185">
        <v>32</v>
      </c>
      <c r="F69" s="185">
        <v>34.24</v>
      </c>
      <c r="G69" s="186">
        <v>37.664000000000009</v>
      </c>
      <c r="H69" s="161">
        <v>41.430400000000013</v>
      </c>
      <c r="I69" s="161">
        <v>45.573440000000019</v>
      </c>
      <c r="J69" s="161">
        <v>50.130784000000027</v>
      </c>
    </row>
    <row r="70" spans="1:10" s="149" customFormat="1" ht="16" thickBot="1">
      <c r="A70" s="154"/>
      <c r="B70" s="182" t="s">
        <v>161</v>
      </c>
      <c r="C70" s="190" t="s">
        <v>187</v>
      </c>
      <c r="D70" s="189"/>
      <c r="E70" s="185">
        <v>32</v>
      </c>
      <c r="F70" s="185">
        <v>34.24</v>
      </c>
      <c r="G70" s="186">
        <v>37.664000000000009</v>
      </c>
      <c r="H70" s="161">
        <v>41.430400000000013</v>
      </c>
      <c r="I70" s="161">
        <v>45.573440000000019</v>
      </c>
      <c r="J70" s="161">
        <v>50.130784000000027</v>
      </c>
    </row>
    <row r="71" spans="1:10" s="149" customFormat="1" ht="16" thickBot="1">
      <c r="A71" s="154"/>
      <c r="B71" s="182" t="s">
        <v>188</v>
      </c>
      <c r="C71" s="190" t="s">
        <v>18</v>
      </c>
      <c r="D71" s="189"/>
      <c r="E71" s="185">
        <v>15</v>
      </c>
      <c r="F71" s="185">
        <v>16.05</v>
      </c>
      <c r="G71" s="186">
        <v>17.655000000000001</v>
      </c>
      <c r="H71" s="161">
        <v>19.420500000000004</v>
      </c>
      <c r="I71" s="161">
        <v>21.362550000000006</v>
      </c>
      <c r="J71" s="161">
        <v>23.498805000000008</v>
      </c>
    </row>
    <row r="72" spans="1:10" s="149" customFormat="1">
      <c r="A72" s="153"/>
      <c r="B72" s="61" t="s">
        <v>29</v>
      </c>
      <c r="C72" s="171"/>
      <c r="D72" s="172"/>
      <c r="E72" s="173"/>
      <c r="F72" s="173"/>
      <c r="G72" s="174"/>
      <c r="H72" s="175"/>
      <c r="I72" s="175"/>
      <c r="J72" s="175"/>
    </row>
    <row r="73" spans="1:10" s="149" customFormat="1">
      <c r="A73" s="153"/>
      <c r="B73" s="61"/>
      <c r="C73" s="171"/>
      <c r="D73" s="172"/>
      <c r="E73" s="173"/>
      <c r="F73" s="173"/>
      <c r="G73" s="174"/>
      <c r="H73" s="175"/>
      <c r="I73" s="175"/>
      <c r="J73" s="175"/>
    </row>
    <row r="74" spans="1:10" s="149" customFormat="1" ht="15" thickBot="1">
      <c r="A74" s="153"/>
      <c r="B74" s="61"/>
      <c r="C74" s="171"/>
      <c r="D74" s="172"/>
      <c r="E74" s="173"/>
      <c r="F74" s="173"/>
      <c r="G74" s="174"/>
      <c r="H74" s="175"/>
      <c r="I74" s="175"/>
      <c r="J74" s="175"/>
    </row>
    <row r="75" spans="1:10" ht="31" thickBot="1">
      <c r="A75" s="3"/>
      <c r="B75" s="177" t="s">
        <v>141</v>
      </c>
      <c r="C75" s="10"/>
      <c r="D75" s="11"/>
      <c r="E75" s="12" t="s">
        <v>3</v>
      </c>
      <c r="F75" s="12" t="s">
        <v>4</v>
      </c>
      <c r="G75" s="12" t="s">
        <v>5</v>
      </c>
      <c r="H75" s="12" t="s">
        <v>32</v>
      </c>
      <c r="I75" s="12" t="s">
        <v>7</v>
      </c>
      <c r="J75" s="12" t="s">
        <v>8</v>
      </c>
    </row>
    <row r="76" spans="1:10" ht="15" thickBot="1">
      <c r="A76" s="3"/>
      <c r="B76" s="981" t="s">
        <v>113</v>
      </c>
      <c r="C76" s="982"/>
      <c r="D76" s="983"/>
      <c r="E76" s="984" t="s">
        <v>113</v>
      </c>
      <c r="F76" s="985"/>
      <c r="G76" s="985"/>
      <c r="H76" s="985"/>
      <c r="I76" s="985"/>
      <c r="J76" s="985"/>
    </row>
    <row r="77" spans="1:10" s="149" customFormat="1" ht="15" thickBot="1">
      <c r="A77" s="153"/>
      <c r="C77" s="150"/>
      <c r="D77" s="151"/>
      <c r="E77" s="152"/>
      <c r="F77" s="152"/>
      <c r="G77" s="152"/>
      <c r="H77" s="151"/>
      <c r="I77" s="151"/>
      <c r="J77" s="151"/>
    </row>
    <row r="78" spans="1:10" s="149" customFormat="1" ht="16" thickBot="1">
      <c r="A78" s="154"/>
      <c r="B78" s="182" t="s">
        <v>189</v>
      </c>
      <c r="C78" s="190"/>
      <c r="D78" s="189"/>
      <c r="E78" s="185"/>
      <c r="F78" s="185"/>
      <c r="G78" s="186"/>
      <c r="H78" s="161"/>
      <c r="I78" s="161"/>
      <c r="J78" s="161"/>
    </row>
    <row r="79" spans="1:10" s="149" customFormat="1" ht="16" thickBot="1">
      <c r="A79" s="154"/>
      <c r="B79" s="182" t="s">
        <v>190</v>
      </c>
      <c r="C79" s="163" t="s">
        <v>167</v>
      </c>
      <c r="D79" s="184"/>
      <c r="E79" s="187"/>
      <c r="F79" s="187"/>
      <c r="G79" s="191"/>
      <c r="H79" s="165"/>
      <c r="I79" s="165"/>
      <c r="J79" s="165"/>
    </row>
    <row r="80" spans="1:10" s="149" customFormat="1" ht="61" thickBot="1">
      <c r="A80" s="154"/>
      <c r="B80" s="182"/>
      <c r="C80" s="190" t="s">
        <v>191</v>
      </c>
      <c r="D80" s="189"/>
      <c r="E80" s="185">
        <v>7.35</v>
      </c>
      <c r="F80" s="185">
        <v>7.86</v>
      </c>
      <c r="G80" s="186">
        <v>8.6460000000000008</v>
      </c>
      <c r="H80" s="161">
        <v>9.5106000000000019</v>
      </c>
      <c r="I80" s="161">
        <v>10.461660000000004</v>
      </c>
      <c r="J80" s="161">
        <v>11.507826000000005</v>
      </c>
    </row>
    <row r="81" spans="1:12" s="149" customFormat="1" ht="16" thickBot="1">
      <c r="A81" s="154"/>
      <c r="B81" s="182" t="s">
        <v>192</v>
      </c>
      <c r="C81" s="163" t="s">
        <v>171</v>
      </c>
      <c r="D81" s="184"/>
      <c r="E81" s="187"/>
      <c r="F81" s="187"/>
      <c r="G81" s="191"/>
      <c r="H81" s="165"/>
      <c r="I81" s="165"/>
      <c r="J81" s="165"/>
    </row>
    <row r="82" spans="1:12" s="149" customFormat="1" ht="31" thickBot="1">
      <c r="A82" s="154"/>
      <c r="B82" s="182" t="s">
        <v>146</v>
      </c>
      <c r="C82" s="190" t="s">
        <v>193</v>
      </c>
      <c r="D82" s="189"/>
      <c r="E82" s="185">
        <v>420</v>
      </c>
      <c r="F82" s="185">
        <v>449.4</v>
      </c>
      <c r="G82" s="186">
        <v>494.34000000000003</v>
      </c>
      <c r="H82" s="161">
        <v>543.77400000000011</v>
      </c>
      <c r="I82" s="161">
        <v>598.15140000000019</v>
      </c>
      <c r="J82" s="161">
        <v>657.96654000000024</v>
      </c>
    </row>
    <row r="83" spans="1:12" s="149" customFormat="1" ht="31" thickBot="1">
      <c r="A83" s="154"/>
      <c r="B83" s="182" t="s">
        <v>148</v>
      </c>
      <c r="C83" s="190" t="s">
        <v>194</v>
      </c>
      <c r="D83" s="189"/>
      <c r="E83" s="185">
        <v>630</v>
      </c>
      <c r="F83" s="185">
        <v>674.1</v>
      </c>
      <c r="G83" s="186">
        <v>741.5100000000001</v>
      </c>
      <c r="H83" s="161">
        <v>815.66100000000017</v>
      </c>
      <c r="I83" s="161">
        <v>897.22710000000029</v>
      </c>
      <c r="J83" s="161">
        <v>986.94981000000041</v>
      </c>
    </row>
    <row r="84" spans="1:12" s="149" customFormat="1" ht="16" thickBot="1">
      <c r="A84" s="154"/>
      <c r="B84" s="182" t="s">
        <v>195</v>
      </c>
      <c r="C84" s="163" t="s">
        <v>175</v>
      </c>
      <c r="D84" s="184"/>
      <c r="E84" s="187"/>
      <c r="F84" s="187"/>
      <c r="G84" s="191"/>
      <c r="H84" s="165"/>
      <c r="I84" s="165"/>
      <c r="J84" s="165"/>
    </row>
    <row r="85" spans="1:12" s="149" customFormat="1" ht="31" thickBot="1">
      <c r="A85" s="154"/>
      <c r="B85" s="182"/>
      <c r="C85" s="190" t="s">
        <v>196</v>
      </c>
      <c r="D85" s="189"/>
      <c r="E85" s="185">
        <v>105</v>
      </c>
      <c r="F85" s="185">
        <v>112.35</v>
      </c>
      <c r="G85" s="186">
        <v>123.58500000000001</v>
      </c>
      <c r="H85" s="161">
        <v>135.94350000000003</v>
      </c>
      <c r="I85" s="161">
        <v>149.53785000000005</v>
      </c>
      <c r="J85" s="161">
        <v>164.49163500000006</v>
      </c>
    </row>
    <row r="86" spans="1:12" s="149" customFormat="1" ht="16" thickBot="1">
      <c r="A86" s="154"/>
      <c r="B86" s="182" t="s">
        <v>197</v>
      </c>
      <c r="C86" s="163" t="s">
        <v>178</v>
      </c>
      <c r="D86" s="184"/>
      <c r="E86" s="187"/>
      <c r="F86" s="187"/>
      <c r="G86" s="191"/>
      <c r="H86" s="165"/>
      <c r="I86" s="165"/>
      <c r="J86" s="165"/>
    </row>
    <row r="87" spans="1:12" s="149" customFormat="1" ht="16" thickBot="1">
      <c r="A87" s="154"/>
      <c r="B87" s="182"/>
      <c r="C87" s="190" t="s">
        <v>198</v>
      </c>
      <c r="D87" s="189"/>
      <c r="E87" s="187"/>
      <c r="F87" s="187"/>
      <c r="G87" s="191"/>
      <c r="H87" s="165"/>
      <c r="I87" s="165"/>
      <c r="J87" s="165"/>
    </row>
    <row r="88" spans="1:12" s="149" customFormat="1" ht="31" thickBot="1">
      <c r="A88" s="154"/>
      <c r="B88" s="182" t="s">
        <v>146</v>
      </c>
      <c r="C88" s="190" t="s">
        <v>199</v>
      </c>
      <c r="D88" s="189"/>
      <c r="E88" s="185">
        <v>2265</v>
      </c>
      <c r="F88" s="185">
        <v>2423.5500000000002</v>
      </c>
      <c r="G88" s="186">
        <v>2665.9050000000002</v>
      </c>
      <c r="H88" s="161">
        <v>2932.4955000000004</v>
      </c>
      <c r="I88" s="161">
        <v>3225.7450500000009</v>
      </c>
      <c r="J88" s="161">
        <v>3548.3195550000014</v>
      </c>
    </row>
    <row r="89" spans="1:12" s="149" customFormat="1" ht="31" thickBot="1">
      <c r="A89" s="154"/>
      <c r="B89" s="182" t="s">
        <v>148</v>
      </c>
      <c r="C89" s="190" t="s">
        <v>200</v>
      </c>
      <c r="D89" s="189"/>
      <c r="E89" s="185">
        <v>2890</v>
      </c>
      <c r="F89" s="185">
        <v>3092.23</v>
      </c>
      <c r="G89" s="186">
        <v>3401.4530000000004</v>
      </c>
      <c r="H89" s="161">
        <v>3741.5983000000006</v>
      </c>
      <c r="I89" s="161">
        <v>4115.7581300000011</v>
      </c>
      <c r="J89" s="161">
        <v>4527.3339430000015</v>
      </c>
    </row>
    <row r="90" spans="1:12" s="149" customFormat="1" ht="31" thickBot="1">
      <c r="A90" s="154"/>
      <c r="B90" s="182" t="s">
        <v>156</v>
      </c>
      <c r="C90" s="190" t="s">
        <v>201</v>
      </c>
      <c r="D90" s="189"/>
      <c r="E90" s="185">
        <v>26.25</v>
      </c>
      <c r="F90" s="185">
        <v>28.08</v>
      </c>
      <c r="G90" s="186">
        <v>30.888000000000002</v>
      </c>
      <c r="H90" s="161">
        <v>33.976800000000004</v>
      </c>
      <c r="I90" s="161">
        <v>37.374480000000005</v>
      </c>
      <c r="J90" s="161">
        <v>41.111928000000006</v>
      </c>
    </row>
    <row r="91" spans="1:12">
      <c r="A91" s="62"/>
      <c r="B91" s="61" t="s">
        <v>29</v>
      </c>
      <c r="I91" s="13"/>
      <c r="J91" s="13"/>
    </row>
    <row r="92" spans="1:12">
      <c r="A92" s="62"/>
      <c r="B92" s="61"/>
      <c r="I92" s="13"/>
      <c r="J92" s="13"/>
    </row>
    <row r="93" spans="1:12" ht="15" thickBot="1">
      <c r="A93" s="62"/>
      <c r="I93" s="13"/>
      <c r="J93" s="13"/>
    </row>
    <row r="94" spans="1:12" ht="31" thickBot="1">
      <c r="A94" s="3"/>
      <c r="B94" s="9"/>
      <c r="C94" s="10"/>
      <c r="D94" s="11"/>
      <c r="E94" s="12" t="s">
        <v>3</v>
      </c>
      <c r="F94" s="12" t="s">
        <v>4</v>
      </c>
      <c r="G94" s="12" t="s">
        <v>5</v>
      </c>
      <c r="H94" s="12" t="s">
        <v>32</v>
      </c>
      <c r="I94" s="12" t="s">
        <v>7</v>
      </c>
      <c r="J94" s="12" t="s">
        <v>8</v>
      </c>
    </row>
    <row r="95" spans="1:12" s="283" customFormat="1" ht="17" thickBot="1">
      <c r="A95" s="282"/>
      <c r="B95" s="995" t="s">
        <v>30</v>
      </c>
      <c r="C95" s="996"/>
      <c r="D95" s="997"/>
      <c r="E95" s="1025" t="s">
        <v>30</v>
      </c>
      <c r="F95" s="1026"/>
      <c r="G95" s="1026"/>
      <c r="H95" s="1026"/>
      <c r="I95" s="1026"/>
      <c r="J95" s="1026"/>
      <c r="L95" s="284"/>
    </row>
    <row r="96" spans="1:12" s="149" customFormat="1" ht="15" thickBot="1">
      <c r="C96" s="150"/>
      <c r="D96" s="151"/>
      <c r="E96" s="152"/>
      <c r="F96" s="152"/>
      <c r="G96" s="152"/>
      <c r="H96" s="151"/>
      <c r="I96" s="151"/>
      <c r="J96" s="151"/>
    </row>
    <row r="97" spans="1:12" s="149" customFormat="1" ht="31" thickBot="1">
      <c r="A97" s="153"/>
      <c r="B97" s="9" t="s">
        <v>204</v>
      </c>
      <c r="C97" s="10"/>
      <c r="D97" s="11"/>
      <c r="E97" s="64" t="s">
        <v>3</v>
      </c>
      <c r="F97" s="64" t="s">
        <v>4</v>
      </c>
      <c r="G97" s="64" t="s">
        <v>5</v>
      </c>
      <c r="H97" s="64" t="s">
        <v>32</v>
      </c>
      <c r="I97" s="64" t="s">
        <v>7</v>
      </c>
      <c r="J97" s="64" t="s">
        <v>8</v>
      </c>
    </row>
    <row r="98" spans="1:12" ht="16" thickBot="1">
      <c r="A98" s="192"/>
      <c r="B98" s="193" t="s">
        <v>205</v>
      </c>
      <c r="C98" s="194" t="s">
        <v>206</v>
      </c>
      <c r="D98" s="195"/>
      <c r="E98" s="195"/>
      <c r="F98" s="196"/>
      <c r="G98" s="195"/>
      <c r="H98" s="196"/>
      <c r="I98" s="195"/>
      <c r="J98" s="195"/>
    </row>
    <row r="99" spans="1:12" ht="16" thickBot="1">
      <c r="A99" s="192"/>
      <c r="B99" s="193"/>
      <c r="C99" s="195"/>
      <c r="D99" s="195"/>
      <c r="E99" s="195"/>
      <c r="F99" s="196"/>
      <c r="G99" s="195"/>
      <c r="H99" s="196"/>
      <c r="I99" s="195"/>
      <c r="J99" s="195"/>
    </row>
    <row r="100" spans="1:12" ht="16" thickBot="1">
      <c r="A100" s="192"/>
      <c r="B100" s="193"/>
      <c r="C100" s="197" t="s">
        <v>207</v>
      </c>
      <c r="D100" s="195"/>
      <c r="E100" s="195"/>
      <c r="F100" s="196"/>
      <c r="G100" s="195"/>
      <c r="H100" s="196"/>
      <c r="I100" s="195"/>
      <c r="J100" s="195"/>
    </row>
    <row r="101" spans="1:12" ht="16" thickBot="1">
      <c r="A101" s="192"/>
      <c r="B101" s="302"/>
      <c r="C101" s="302" t="s">
        <v>243</v>
      </c>
      <c r="D101" s="303"/>
      <c r="E101" s="303"/>
      <c r="F101" s="304">
        <v>56.1</v>
      </c>
      <c r="G101" s="305">
        <v>62.271000000000008</v>
      </c>
      <c r="H101" s="306">
        <v>68.498100000000008</v>
      </c>
      <c r="I101" s="306">
        <v>75.347910000000013</v>
      </c>
      <c r="J101" s="306">
        <v>82.882701000000026</v>
      </c>
      <c r="K101" s="307"/>
      <c r="L101" s="307" t="s">
        <v>425</v>
      </c>
    </row>
    <row r="102" spans="1:12" ht="16" thickBot="1">
      <c r="A102" s="192"/>
      <c r="B102" s="302" t="s">
        <v>116</v>
      </c>
      <c r="C102" s="302" t="s">
        <v>117</v>
      </c>
      <c r="D102" s="302"/>
      <c r="E102" s="302"/>
      <c r="F102" s="304">
        <f>+F101/2</f>
        <v>28.05</v>
      </c>
      <c r="G102" s="305">
        <f>+G101/2</f>
        <v>31.135500000000004</v>
      </c>
      <c r="H102" s="306">
        <f>+H101/2</f>
        <v>34.249050000000004</v>
      </c>
      <c r="I102" s="306">
        <f>+I101/2</f>
        <v>37.673955000000007</v>
      </c>
      <c r="J102" s="306">
        <f>+J101/2</f>
        <v>41.441350500000013</v>
      </c>
      <c r="K102" s="307"/>
      <c r="L102" s="307"/>
    </row>
    <row r="103" spans="1:12" ht="16" thickBot="1">
      <c r="A103" s="192"/>
      <c r="B103" s="195"/>
      <c r="C103" s="195" t="s">
        <v>209</v>
      </c>
      <c r="D103" s="198"/>
      <c r="E103" s="198"/>
      <c r="F103" s="196"/>
      <c r="G103" s="196"/>
      <c r="H103" s="196"/>
      <c r="I103" s="196"/>
      <c r="J103" s="196"/>
    </row>
    <row r="104" spans="1:12" ht="15" thickBot="1">
      <c r="A104" s="192"/>
      <c r="B104" s="195"/>
      <c r="C104" s="200" t="s">
        <v>210</v>
      </c>
      <c r="D104" s="198"/>
      <c r="E104" s="198"/>
      <c r="F104" s="198" t="s">
        <v>14</v>
      </c>
      <c r="G104" s="198" t="s">
        <v>14</v>
      </c>
      <c r="H104" s="198" t="s">
        <v>14</v>
      </c>
      <c r="I104" s="198" t="s">
        <v>14</v>
      </c>
      <c r="J104" s="198" t="s">
        <v>14</v>
      </c>
    </row>
    <row r="105" spans="1:12" ht="15" thickBot="1">
      <c r="A105" s="192"/>
      <c r="B105" s="195"/>
      <c r="C105" s="200" t="s">
        <v>211</v>
      </c>
      <c r="D105" s="198"/>
      <c r="E105" s="198"/>
      <c r="F105" s="198" t="s">
        <v>14</v>
      </c>
      <c r="G105" s="186">
        <v>2.63</v>
      </c>
      <c r="H105" s="186">
        <f>G105*10%+G105</f>
        <v>2.8929999999999998</v>
      </c>
      <c r="I105" s="161">
        <f>H105*10%+H105</f>
        <v>3.1822999999999997</v>
      </c>
      <c r="J105" s="161">
        <f>H105*10%+H105</f>
        <v>3.1822999999999997</v>
      </c>
    </row>
    <row r="106" spans="1:12" ht="16" thickBot="1">
      <c r="A106" s="192"/>
      <c r="B106" s="195"/>
      <c r="C106" s="200" t="s">
        <v>212</v>
      </c>
      <c r="D106" s="198"/>
      <c r="E106" s="198"/>
      <c r="F106" s="196">
        <v>3.05</v>
      </c>
      <c r="G106" s="186">
        <f>+F106*1.11</f>
        <v>3.3855</v>
      </c>
      <c r="H106" s="186">
        <f>+G106+1.1</f>
        <v>4.4855</v>
      </c>
      <c r="I106" s="161">
        <f>+G106*1.1</f>
        <v>3.7240500000000001</v>
      </c>
      <c r="J106" s="161">
        <f>(+G106*1.1)*1.1</f>
        <v>4.0964550000000006</v>
      </c>
    </row>
    <row r="107" spans="1:12" ht="16" thickBot="1">
      <c r="A107" s="192"/>
      <c r="B107" s="195"/>
      <c r="C107" s="200" t="s">
        <v>213</v>
      </c>
      <c r="D107" s="198"/>
      <c r="E107" s="198"/>
      <c r="F107" s="196">
        <v>3.51</v>
      </c>
      <c r="G107" s="186">
        <f>+F107*1.11</f>
        <v>3.8961000000000001</v>
      </c>
      <c r="H107" s="186">
        <f>+G107+1.1</f>
        <v>4.9961000000000002</v>
      </c>
      <c r="I107" s="161">
        <f>+G107*1.1</f>
        <v>4.2857100000000008</v>
      </c>
      <c r="J107" s="161">
        <f>(+G107*1.1)*1.1</f>
        <v>4.7142810000000015</v>
      </c>
    </row>
    <row r="108" spans="1:12" ht="16" thickBot="1">
      <c r="A108" s="192"/>
      <c r="B108" s="195"/>
      <c r="C108" s="200" t="s">
        <v>214</v>
      </c>
      <c r="D108" s="198"/>
      <c r="E108" s="198"/>
      <c r="F108" s="196">
        <v>3.99</v>
      </c>
      <c r="G108" s="186">
        <f>+F108*1.11</f>
        <v>4.4289000000000005</v>
      </c>
      <c r="H108" s="186">
        <f>+G108+1.1</f>
        <v>5.5289000000000001</v>
      </c>
      <c r="I108" s="161">
        <f>+G108*1.1</f>
        <v>4.8717900000000007</v>
      </c>
      <c r="J108" s="161">
        <f>(+G108*1.1)*1.1</f>
        <v>5.358969000000001</v>
      </c>
    </row>
    <row r="109" spans="1:12" ht="16" thickBot="1">
      <c r="A109" s="192"/>
      <c r="B109" s="195"/>
      <c r="C109" s="200"/>
      <c r="D109" s="198"/>
      <c r="E109" s="198"/>
      <c r="F109" s="196"/>
      <c r="G109" s="196"/>
      <c r="H109" s="196"/>
      <c r="I109" s="196"/>
      <c r="J109" s="196"/>
    </row>
    <row r="110" spans="1:12" ht="16" thickBot="1">
      <c r="A110" s="192"/>
      <c r="B110" s="195"/>
      <c r="C110" s="201" t="s">
        <v>215</v>
      </c>
      <c r="D110" s="198"/>
      <c r="E110" s="198"/>
      <c r="F110" s="196"/>
      <c r="G110" s="196"/>
      <c r="H110" s="196"/>
      <c r="I110" s="196"/>
      <c r="J110" s="196"/>
    </row>
    <row r="111" spans="1:12" ht="16" thickBot="1">
      <c r="A111" s="192"/>
      <c r="B111" s="195"/>
      <c r="C111" s="202" t="s">
        <v>216</v>
      </c>
      <c r="D111" s="198"/>
      <c r="E111" s="198"/>
      <c r="F111" s="196">
        <v>49.79</v>
      </c>
      <c r="G111" s="186">
        <f>+F111*1.11</f>
        <v>55.266900000000007</v>
      </c>
      <c r="H111" s="186">
        <f>+G111+1.1</f>
        <v>56.366900000000008</v>
      </c>
      <c r="I111" s="161">
        <f>+G111*1.1</f>
        <v>60.793590000000009</v>
      </c>
      <c r="J111" s="161">
        <f>(+G111*1.1)*1.1</f>
        <v>66.87294900000002</v>
      </c>
    </row>
    <row r="112" spans="1:12" ht="16" thickBot="1">
      <c r="A112" s="192"/>
      <c r="B112" s="195"/>
      <c r="C112" s="200"/>
      <c r="D112" s="198"/>
      <c r="E112" s="198"/>
      <c r="F112" s="196"/>
      <c r="G112" s="196"/>
      <c r="H112" s="196"/>
      <c r="I112" s="196"/>
      <c r="J112" s="196"/>
    </row>
    <row r="113" spans="1:10" ht="16" thickBot="1">
      <c r="A113" s="192"/>
      <c r="B113" s="195"/>
      <c r="C113" s="201" t="s">
        <v>217</v>
      </c>
      <c r="D113" s="198"/>
      <c r="E113" s="198"/>
      <c r="F113" s="196"/>
      <c r="G113" s="196"/>
      <c r="H113" s="196"/>
      <c r="I113" s="196"/>
      <c r="J113" s="196"/>
    </row>
    <row r="114" spans="1:10" ht="16" thickBot="1">
      <c r="A114" s="192"/>
      <c r="B114" s="195"/>
      <c r="C114" s="195" t="s">
        <v>208</v>
      </c>
      <c r="D114" s="198"/>
      <c r="E114" s="198"/>
      <c r="F114" s="196">
        <v>0</v>
      </c>
      <c r="G114" s="196">
        <v>0</v>
      </c>
      <c r="H114" s="196">
        <v>0</v>
      </c>
      <c r="I114" s="196">
        <v>0</v>
      </c>
      <c r="J114" s="196">
        <v>0</v>
      </c>
    </row>
    <row r="115" spans="1:10" ht="16" thickBot="1">
      <c r="A115" s="192"/>
      <c r="B115" s="195"/>
      <c r="C115" s="195" t="s">
        <v>209</v>
      </c>
      <c r="D115" s="198"/>
      <c r="E115" s="198"/>
      <c r="F115" s="196">
        <v>4.47</v>
      </c>
      <c r="G115" s="186">
        <f>+F115*1.11</f>
        <v>4.9617000000000004</v>
      </c>
      <c r="H115" s="186">
        <f>+G115+1.1</f>
        <v>6.0617000000000001</v>
      </c>
      <c r="I115" s="161">
        <f>+G115*1.1</f>
        <v>5.4578700000000007</v>
      </c>
      <c r="J115" s="161">
        <f>(+G115*1.1)*1.1</f>
        <v>6.0036570000000014</v>
      </c>
    </row>
    <row r="116" spans="1:10" ht="16" thickBot="1">
      <c r="A116" s="192"/>
      <c r="B116" s="195"/>
      <c r="C116" s="200"/>
      <c r="D116" s="198"/>
      <c r="E116" s="198"/>
      <c r="F116" s="196"/>
      <c r="G116" s="196"/>
      <c r="H116" s="196"/>
      <c r="I116" s="196"/>
      <c r="J116" s="196"/>
    </row>
    <row r="117" spans="1:10" ht="16" thickBot="1">
      <c r="A117" s="192"/>
      <c r="B117" s="195"/>
      <c r="C117" s="201" t="s">
        <v>218</v>
      </c>
      <c r="D117" s="198"/>
      <c r="E117" s="198"/>
      <c r="F117" s="196"/>
      <c r="G117" s="196"/>
      <c r="H117" s="196"/>
      <c r="I117" s="196"/>
      <c r="J117" s="196"/>
    </row>
    <row r="118" spans="1:10" ht="16" thickBot="1">
      <c r="A118" s="192"/>
      <c r="B118" s="195"/>
      <c r="C118" s="202" t="s">
        <v>216</v>
      </c>
      <c r="D118" s="198"/>
      <c r="E118" s="198"/>
      <c r="F118" s="196">
        <v>27.23</v>
      </c>
      <c r="G118" s="186">
        <f>+F118*1.11</f>
        <v>30.225300000000004</v>
      </c>
      <c r="H118" s="186">
        <f>+G118+1.1</f>
        <v>31.325300000000006</v>
      </c>
      <c r="I118" s="161">
        <f>+G118*1.1</f>
        <v>33.247830000000008</v>
      </c>
      <c r="J118" s="161">
        <f>(+G118*1.1)*1.1</f>
        <v>36.572613000000011</v>
      </c>
    </row>
    <row r="119" spans="1:10" ht="16" thickBot="1">
      <c r="A119" s="192"/>
      <c r="B119" s="195"/>
      <c r="C119" s="200"/>
      <c r="D119" s="198"/>
      <c r="E119" s="198"/>
      <c r="F119" s="196"/>
      <c r="G119" s="196"/>
      <c r="H119" s="196"/>
      <c r="I119" s="196"/>
      <c r="J119" s="196"/>
    </row>
    <row r="120" spans="1:10" ht="16" thickBot="1">
      <c r="A120" s="192"/>
      <c r="B120" s="195"/>
      <c r="C120" s="201" t="s">
        <v>219</v>
      </c>
      <c r="D120" s="198"/>
      <c r="E120" s="198"/>
      <c r="F120" s="196"/>
      <c r="G120" s="196"/>
      <c r="H120" s="196"/>
      <c r="I120" s="196"/>
      <c r="J120" s="196"/>
    </row>
    <row r="121" spans="1:10" ht="15" thickBot="1">
      <c r="A121" s="192"/>
      <c r="B121" s="195"/>
      <c r="C121" s="200" t="s">
        <v>220</v>
      </c>
      <c r="D121" s="198"/>
      <c r="E121" s="198"/>
      <c r="F121" s="186">
        <f>+E121*1.11</f>
        <v>0</v>
      </c>
      <c r="G121" s="186">
        <f>+F121*1.11</f>
        <v>0</v>
      </c>
      <c r="H121" s="186">
        <v>0</v>
      </c>
      <c r="I121" s="161">
        <f>+G121*1.1</f>
        <v>0</v>
      </c>
      <c r="J121" s="161">
        <f>(+G121*1.1)*1.1</f>
        <v>0</v>
      </c>
    </row>
    <row r="122" spans="1:10" ht="16" thickBot="1">
      <c r="A122" s="192"/>
      <c r="B122" s="195"/>
      <c r="C122" s="200" t="s">
        <v>244</v>
      </c>
      <c r="D122" s="198"/>
      <c r="E122" s="198"/>
      <c r="F122" s="196">
        <v>4.4400000000000004</v>
      </c>
      <c r="G122" s="186">
        <f>+F122*1.11</f>
        <v>4.9284000000000008</v>
      </c>
      <c r="H122" s="186">
        <f>+G122+1.1</f>
        <v>6.0284000000000013</v>
      </c>
      <c r="I122" s="161">
        <f>+G122*1.1</f>
        <v>5.4212400000000009</v>
      </c>
      <c r="J122" s="161">
        <f>(+G122*1.1)*1.1</f>
        <v>5.9633640000000012</v>
      </c>
    </row>
    <row r="123" spans="1:10" ht="16" thickBot="1">
      <c r="A123" s="192"/>
      <c r="B123" s="195"/>
      <c r="C123" s="200" t="s">
        <v>214</v>
      </c>
      <c r="D123" s="198"/>
      <c r="E123" s="198"/>
      <c r="F123" s="196">
        <v>4.74</v>
      </c>
      <c r="G123" s="186">
        <f>+F123*1.11</f>
        <v>5.261400000000001</v>
      </c>
      <c r="H123" s="186">
        <f>+G123+1.1</f>
        <v>6.3614000000000015</v>
      </c>
      <c r="I123" s="161">
        <f>+G123*1.1</f>
        <v>5.7875400000000017</v>
      </c>
      <c r="J123" s="161">
        <f>(+G123*1.1)*1.1</f>
        <v>6.3662940000000026</v>
      </c>
    </row>
    <row r="124" spans="1:10" ht="16" thickBot="1">
      <c r="A124" s="192"/>
      <c r="B124" s="193" t="s">
        <v>221</v>
      </c>
      <c r="C124" s="194" t="s">
        <v>222</v>
      </c>
      <c r="D124" s="198"/>
      <c r="E124" s="198"/>
      <c r="F124" s="196"/>
      <c r="G124" s="196"/>
      <c r="H124" s="196"/>
      <c r="I124" s="196"/>
      <c r="J124" s="196"/>
    </row>
    <row r="125" spans="1:10" ht="16" thickBot="1">
      <c r="A125" s="192"/>
      <c r="B125" s="193"/>
      <c r="C125" s="195" t="s">
        <v>208</v>
      </c>
      <c r="D125" s="198"/>
      <c r="E125" s="198"/>
      <c r="F125" s="196">
        <v>73.56</v>
      </c>
      <c r="G125" s="186">
        <f>+F125*1.11</f>
        <v>81.651600000000016</v>
      </c>
      <c r="H125" s="186">
        <f>+G125+1.1</f>
        <v>82.75160000000001</v>
      </c>
      <c r="I125" s="161">
        <f>+G125*1.1</f>
        <v>89.816760000000031</v>
      </c>
      <c r="J125" s="161">
        <f>(+G125*1.1)*1.1</f>
        <v>98.798436000000038</v>
      </c>
    </row>
    <row r="126" spans="1:10" ht="16" thickBot="1">
      <c r="A126" s="192"/>
      <c r="B126" s="193"/>
      <c r="C126" s="199"/>
      <c r="D126" s="195"/>
      <c r="E126" s="195"/>
      <c r="F126" s="196"/>
      <c r="G126" s="196"/>
      <c r="H126" s="196"/>
      <c r="I126" s="196"/>
      <c r="J126" s="196"/>
    </row>
    <row r="127" spans="1:10" ht="16" thickBot="1">
      <c r="A127" s="192"/>
      <c r="B127" s="195"/>
      <c r="C127" s="200" t="s">
        <v>220</v>
      </c>
      <c r="D127" s="198"/>
      <c r="E127" s="198"/>
      <c r="F127" s="196">
        <v>2.73</v>
      </c>
      <c r="G127" s="186">
        <f>+F127*1.11</f>
        <v>3.0303000000000004</v>
      </c>
      <c r="H127" s="186">
        <f>+G127+1.1</f>
        <v>4.1303000000000001</v>
      </c>
      <c r="I127" s="161">
        <f>+G127*1.1</f>
        <v>3.3333300000000006</v>
      </c>
      <c r="J127" s="161">
        <f>(+G127*1.1)*1.1</f>
        <v>3.6666630000000011</v>
      </c>
    </row>
    <row r="128" spans="1:10" ht="16" thickBot="1">
      <c r="A128" s="192"/>
      <c r="B128" s="195"/>
      <c r="C128" s="200" t="s">
        <v>223</v>
      </c>
      <c r="D128" s="198"/>
      <c r="E128" s="198"/>
      <c r="F128" s="196">
        <v>3.4</v>
      </c>
      <c r="G128" s="186">
        <f t="shared" ref="G128:G134" si="2">+F128*1.11</f>
        <v>3.774</v>
      </c>
      <c r="H128" s="186">
        <f t="shared" ref="H128:H134" si="3">+G128+1.1</f>
        <v>4.8740000000000006</v>
      </c>
      <c r="I128" s="161">
        <f t="shared" ref="I128:I134" si="4">+G128*1.1</f>
        <v>4.1514000000000006</v>
      </c>
      <c r="J128" s="161">
        <f>(+G128*1.1)*1.1</f>
        <v>4.5665400000000007</v>
      </c>
    </row>
    <row r="129" spans="1:10" ht="16" thickBot="1">
      <c r="A129" s="192"/>
      <c r="B129" s="195"/>
      <c r="C129" s="200" t="s">
        <v>214</v>
      </c>
      <c r="D129" s="198"/>
      <c r="E129" s="198"/>
      <c r="F129" s="196">
        <v>4.28</v>
      </c>
      <c r="G129" s="186">
        <f t="shared" si="2"/>
        <v>4.7508000000000008</v>
      </c>
      <c r="H129" s="186">
        <f t="shared" si="3"/>
        <v>5.8508000000000013</v>
      </c>
      <c r="I129" s="161">
        <f t="shared" si="4"/>
        <v>5.225880000000001</v>
      </c>
      <c r="J129" s="161">
        <f>(+G129*1.1)*1.1</f>
        <v>5.7484680000000017</v>
      </c>
    </row>
    <row r="130" spans="1:10" ht="16" thickBot="1">
      <c r="A130" s="192"/>
      <c r="B130" s="195"/>
      <c r="C130" s="202" t="s">
        <v>224</v>
      </c>
      <c r="D130" s="203"/>
      <c r="E130" s="196"/>
      <c r="F130" s="196">
        <v>4.26</v>
      </c>
      <c r="G130" s="186">
        <f t="shared" si="2"/>
        <v>4.7286000000000001</v>
      </c>
      <c r="H130" s="186">
        <f t="shared" si="3"/>
        <v>5.8285999999999998</v>
      </c>
      <c r="I130" s="161">
        <f t="shared" si="4"/>
        <v>5.2014600000000009</v>
      </c>
      <c r="J130" s="161">
        <f>(+G130*1.1)*1.1</f>
        <v>5.7216060000000013</v>
      </c>
    </row>
    <row r="131" spans="1:10" ht="16" thickBot="1">
      <c r="A131" s="192"/>
      <c r="B131" s="195"/>
      <c r="C131" s="199"/>
      <c r="D131" s="195"/>
      <c r="E131" s="195"/>
      <c r="F131" s="196"/>
      <c r="G131" s="196"/>
      <c r="H131" s="196"/>
      <c r="I131" s="196"/>
      <c r="J131" s="196"/>
    </row>
    <row r="132" spans="1:10" ht="16" thickBot="1">
      <c r="A132" s="192"/>
      <c r="B132" s="193" t="s">
        <v>225</v>
      </c>
      <c r="C132" s="202" t="s">
        <v>226</v>
      </c>
      <c r="D132" s="198"/>
      <c r="E132" s="198"/>
      <c r="F132" s="196">
        <v>36.4</v>
      </c>
      <c r="G132" s="186">
        <f t="shared" si="2"/>
        <v>40.404000000000003</v>
      </c>
      <c r="H132" s="186">
        <f t="shared" si="3"/>
        <v>41.504000000000005</v>
      </c>
      <c r="I132" s="161">
        <f t="shared" si="4"/>
        <v>44.444400000000009</v>
      </c>
      <c r="J132" s="161">
        <f>(+G132*1.1)*1.1</f>
        <v>48.888840000000016</v>
      </c>
    </row>
    <row r="133" spans="1:10" ht="16" thickBot="1">
      <c r="A133" s="192"/>
      <c r="B133" s="193"/>
      <c r="C133" s="202"/>
      <c r="D133" s="198"/>
      <c r="E133" s="198"/>
      <c r="F133" s="196"/>
      <c r="G133" s="196"/>
      <c r="H133" s="196"/>
      <c r="I133" s="196"/>
      <c r="J133" s="196"/>
    </row>
    <row r="134" spans="1:10" ht="16" thickBot="1">
      <c r="A134" s="192"/>
      <c r="B134" s="193" t="s">
        <v>227</v>
      </c>
      <c r="C134" s="202" t="s">
        <v>228</v>
      </c>
      <c r="D134" s="204"/>
      <c r="E134" s="204"/>
      <c r="F134" s="205">
        <v>200</v>
      </c>
      <c r="G134" s="186">
        <f t="shared" si="2"/>
        <v>222.00000000000003</v>
      </c>
      <c r="H134" s="186">
        <f t="shared" si="3"/>
        <v>223.10000000000002</v>
      </c>
      <c r="I134" s="161">
        <f t="shared" si="4"/>
        <v>244.20000000000005</v>
      </c>
      <c r="J134" s="161">
        <f>(+G134*1.1)*1.1</f>
        <v>268.62000000000006</v>
      </c>
    </row>
    <row r="135" spans="1:10" ht="16" thickBot="1">
      <c r="A135" s="192"/>
      <c r="B135" s="195"/>
      <c r="C135" s="195"/>
      <c r="D135" s="195"/>
      <c r="E135" s="195"/>
      <c r="F135" s="196"/>
      <c r="G135" s="196"/>
      <c r="H135" s="196"/>
      <c r="I135" s="196"/>
      <c r="J135" s="196"/>
    </row>
    <row r="136" spans="1:10">
      <c r="A136" s="62"/>
      <c r="B136" s="61" t="s">
        <v>29</v>
      </c>
      <c r="I136" s="13"/>
      <c r="J136" s="13"/>
    </row>
    <row r="137" spans="1:10" ht="16" thickBot="1">
      <c r="A137" s="192"/>
      <c r="B137" s="206"/>
      <c r="C137" s="206"/>
      <c r="D137" s="206"/>
      <c r="E137" s="206"/>
      <c r="F137" s="207"/>
      <c r="G137" s="207"/>
      <c r="H137" s="207"/>
      <c r="I137" s="207"/>
      <c r="J137" s="207"/>
    </row>
    <row r="138" spans="1:10" ht="31" thickBot="1">
      <c r="A138" s="3"/>
      <c r="B138" s="9"/>
      <c r="C138" s="10"/>
      <c r="D138" s="11"/>
      <c r="E138" s="12" t="s">
        <v>3</v>
      </c>
      <c r="F138" s="12" t="s">
        <v>4</v>
      </c>
      <c r="G138" s="12" t="s">
        <v>5</v>
      </c>
      <c r="H138" s="12" t="s">
        <v>32</v>
      </c>
      <c r="I138" s="12" t="s">
        <v>7</v>
      </c>
      <c r="J138" s="12" t="s">
        <v>8</v>
      </c>
    </row>
    <row r="139" spans="1:10" ht="15" thickBot="1">
      <c r="A139" s="3"/>
      <c r="B139" s="965" t="s">
        <v>30</v>
      </c>
      <c r="C139" s="966"/>
      <c r="D139" s="967"/>
      <c r="E139" s="968" t="s">
        <v>30</v>
      </c>
      <c r="F139" s="969"/>
      <c r="G139" s="969"/>
      <c r="H139" s="969"/>
      <c r="I139" s="969"/>
      <c r="J139" s="969"/>
    </row>
    <row r="140" spans="1:10" s="149" customFormat="1" ht="15" thickBot="1">
      <c r="C140" s="150"/>
      <c r="D140" s="151"/>
      <c r="E140" s="152"/>
      <c r="F140" s="152"/>
      <c r="G140" s="152"/>
      <c r="H140" s="151"/>
      <c r="I140" s="151"/>
      <c r="J140" s="151"/>
    </row>
    <row r="141" spans="1:10" s="149" customFormat="1" ht="31" thickBot="1">
      <c r="A141" s="153"/>
      <c r="B141" s="9" t="s">
        <v>31</v>
      </c>
      <c r="C141" s="10"/>
      <c r="D141" s="11"/>
      <c r="E141" s="64" t="s">
        <v>3</v>
      </c>
      <c r="F141" s="64" t="s">
        <v>4</v>
      </c>
      <c r="G141" s="64" t="s">
        <v>5</v>
      </c>
      <c r="H141" s="64" t="s">
        <v>32</v>
      </c>
      <c r="I141" s="64" t="s">
        <v>7</v>
      </c>
      <c r="J141" s="64" t="s">
        <v>8</v>
      </c>
    </row>
    <row r="142" spans="1:10" ht="16" thickBot="1">
      <c r="A142" s="192"/>
      <c r="B142" s="193"/>
      <c r="C142" s="195"/>
      <c r="D142" s="195"/>
      <c r="E142" s="195"/>
      <c r="F142" s="196"/>
      <c r="G142" s="196"/>
      <c r="H142" s="196"/>
      <c r="I142" s="196"/>
      <c r="J142" s="196"/>
    </row>
    <row r="143" spans="1:10" ht="16" thickBot="1">
      <c r="A143" s="192"/>
      <c r="B143" s="193" t="s">
        <v>205</v>
      </c>
      <c r="C143" s="195" t="s">
        <v>230</v>
      </c>
      <c r="D143" s="198"/>
      <c r="E143" s="198"/>
      <c r="F143" s="196">
        <v>32</v>
      </c>
      <c r="G143" s="186">
        <f>+F143*1.11</f>
        <v>35.520000000000003</v>
      </c>
      <c r="H143" s="161">
        <f>+G143+1.1</f>
        <v>36.620000000000005</v>
      </c>
      <c r="I143" s="161">
        <f>+G143*1.1</f>
        <v>39.07200000000001</v>
      </c>
      <c r="J143" s="161">
        <f>(+G143*1.1)*1.1</f>
        <v>42.979200000000013</v>
      </c>
    </row>
    <row r="144" spans="1:10" ht="16" thickBot="1">
      <c r="A144" s="192"/>
      <c r="B144" s="195"/>
      <c r="C144" s="202"/>
      <c r="D144" s="198"/>
      <c r="E144" s="198"/>
      <c r="F144" s="196"/>
      <c r="G144" s="196"/>
      <c r="H144" s="196"/>
      <c r="I144" s="196"/>
      <c r="J144" s="196"/>
    </row>
    <row r="145" spans="1:10" ht="16" thickBot="1">
      <c r="A145" s="192"/>
      <c r="B145" s="195"/>
      <c r="C145" s="202"/>
      <c r="D145" s="198"/>
      <c r="E145" s="198"/>
      <c r="F145" s="196"/>
      <c r="G145" s="196"/>
      <c r="H145" s="196"/>
      <c r="I145" s="196"/>
      <c r="J145" s="196"/>
    </row>
    <row r="146" spans="1:10" ht="16" thickBot="1">
      <c r="A146" s="192"/>
      <c r="B146" s="195"/>
      <c r="C146" s="195" t="s">
        <v>231</v>
      </c>
      <c r="D146" s="198"/>
      <c r="E146" s="198"/>
      <c r="F146" s="196">
        <v>60</v>
      </c>
      <c r="G146" s="186">
        <f>+F146*1.11</f>
        <v>66.600000000000009</v>
      </c>
      <c r="H146" s="161">
        <f>+G146+1.1</f>
        <v>67.7</v>
      </c>
      <c r="I146" s="161">
        <f>+G146*1.1</f>
        <v>73.260000000000019</v>
      </c>
      <c r="J146" s="161">
        <f>(+G146*1.1)*1.1</f>
        <v>80.586000000000027</v>
      </c>
    </row>
    <row r="147" spans="1:10" ht="16" thickBot="1">
      <c r="A147" s="192"/>
      <c r="B147" s="195"/>
      <c r="C147" s="202"/>
      <c r="D147" s="198"/>
      <c r="E147" s="198"/>
      <c r="F147" s="196"/>
      <c r="G147" s="196"/>
      <c r="H147" s="196"/>
      <c r="I147" s="196"/>
      <c r="J147" s="196"/>
    </row>
    <row r="148" spans="1:10" ht="16" thickBot="1">
      <c r="A148" s="192"/>
      <c r="B148" s="195"/>
      <c r="C148" s="202"/>
      <c r="D148" s="198"/>
      <c r="E148" s="198"/>
      <c r="F148" s="196"/>
      <c r="G148" s="196"/>
      <c r="H148" s="196"/>
      <c r="I148" s="196"/>
      <c r="J148" s="196"/>
    </row>
    <row r="149" spans="1:10" ht="16" thickBot="1">
      <c r="A149" s="192"/>
      <c r="B149" s="193" t="s">
        <v>221</v>
      </c>
      <c r="C149" s="194" t="s">
        <v>232</v>
      </c>
      <c r="D149" s="198"/>
      <c r="E149" s="198"/>
      <c r="F149" s="196"/>
      <c r="G149" s="196"/>
      <c r="H149" s="196"/>
      <c r="I149" s="196"/>
      <c r="J149" s="196"/>
    </row>
    <row r="150" spans="1:10" ht="16" thickBot="1">
      <c r="A150" s="192"/>
      <c r="B150" s="195"/>
      <c r="C150" s="202" t="s">
        <v>15</v>
      </c>
      <c r="D150" s="198"/>
      <c r="E150" s="198"/>
      <c r="F150" s="196"/>
      <c r="G150" s="196"/>
      <c r="H150" s="196"/>
      <c r="I150" s="196"/>
      <c r="J150" s="196"/>
    </row>
    <row r="151" spans="1:10" ht="16" thickBot="1">
      <c r="A151" s="192"/>
      <c r="B151" s="195"/>
      <c r="C151" s="200" t="s">
        <v>233</v>
      </c>
      <c r="D151" s="198"/>
      <c r="E151" s="198"/>
      <c r="F151" s="196">
        <v>5</v>
      </c>
      <c r="G151" s="186">
        <f>+F151*1.11</f>
        <v>5.5500000000000007</v>
      </c>
      <c r="H151" s="161">
        <f>+G151+1.1</f>
        <v>6.65</v>
      </c>
      <c r="I151" s="161">
        <f>+G151*1.1</f>
        <v>6.1050000000000013</v>
      </c>
      <c r="J151" s="161">
        <f>(+G151*1.1)*1.1</f>
        <v>6.7155000000000022</v>
      </c>
    </row>
    <row r="152" spans="1:10" ht="16" thickBot="1">
      <c r="A152" s="192"/>
      <c r="B152" s="195"/>
      <c r="C152" s="200" t="s">
        <v>234</v>
      </c>
      <c r="D152" s="198"/>
      <c r="E152" s="198"/>
      <c r="F152" s="196">
        <v>5</v>
      </c>
      <c r="G152" s="186">
        <f>+F152*1.11</f>
        <v>5.5500000000000007</v>
      </c>
      <c r="H152" s="161">
        <f>+G152+1.1</f>
        <v>6.65</v>
      </c>
      <c r="I152" s="161">
        <f>+G152*1.1</f>
        <v>6.1050000000000013</v>
      </c>
      <c r="J152" s="161">
        <f>(+G152*1.1)*1.1</f>
        <v>6.7155000000000022</v>
      </c>
    </row>
    <row r="153" spans="1:10" ht="16" thickBot="1">
      <c r="A153" s="192"/>
      <c r="B153" s="195"/>
      <c r="C153" s="200"/>
      <c r="D153" s="198"/>
      <c r="E153" s="198"/>
      <c r="F153" s="196"/>
      <c r="G153" s="196"/>
      <c r="H153" s="196"/>
      <c r="I153" s="196"/>
      <c r="J153" s="196"/>
    </row>
    <row r="154" spans="1:10" ht="16" thickBot="1">
      <c r="A154" s="192"/>
      <c r="B154" s="195"/>
      <c r="C154" s="202" t="s">
        <v>235</v>
      </c>
      <c r="D154" s="198"/>
      <c r="E154" s="198"/>
      <c r="F154" s="196">
        <v>19.95</v>
      </c>
      <c r="G154" s="186">
        <f>+F154*1.11</f>
        <v>22.144500000000001</v>
      </c>
      <c r="H154" s="161">
        <f>+G154+1.1</f>
        <v>23.244500000000002</v>
      </c>
      <c r="I154" s="161">
        <f>+G154*1.1</f>
        <v>24.358950000000004</v>
      </c>
      <c r="J154" s="161">
        <f>(+G154*1.1)*1.1</f>
        <v>26.794845000000006</v>
      </c>
    </row>
    <row r="155" spans="1:10" ht="16" thickBot="1">
      <c r="A155" s="192"/>
      <c r="B155" s="195"/>
      <c r="C155" s="200"/>
      <c r="D155" s="198"/>
      <c r="E155" s="198"/>
      <c r="F155" s="196"/>
      <c r="G155" s="196"/>
      <c r="H155" s="196"/>
      <c r="I155" s="196"/>
      <c r="J155" s="196"/>
    </row>
    <row r="156" spans="1:10" ht="16" thickBot="1">
      <c r="A156" s="192"/>
      <c r="B156" s="195"/>
      <c r="C156" s="202" t="s">
        <v>224</v>
      </c>
      <c r="D156" s="198"/>
      <c r="E156" s="198"/>
      <c r="F156" s="196">
        <v>4.7</v>
      </c>
      <c r="G156" s="186">
        <f>+F156*1.11</f>
        <v>5.2170000000000005</v>
      </c>
      <c r="H156" s="161">
        <f>+G156+1.1</f>
        <v>6.3170000000000002</v>
      </c>
      <c r="I156" s="161">
        <f>+G156*1.1</f>
        <v>5.7387000000000015</v>
      </c>
      <c r="J156" s="161">
        <f>(+G156*1.1)*1.1</f>
        <v>6.3125700000000018</v>
      </c>
    </row>
    <row r="157" spans="1:10" ht="16" thickBot="1">
      <c r="A157" s="192"/>
      <c r="B157" s="195"/>
      <c r="C157" s="202"/>
      <c r="D157" s="198"/>
      <c r="E157" s="198"/>
      <c r="F157" s="196"/>
      <c r="G157" s="208"/>
      <c r="H157" s="196"/>
      <c r="I157" s="208"/>
      <c r="J157" s="208"/>
    </row>
    <row r="158" spans="1:10" ht="16" thickBot="1">
      <c r="A158" s="192"/>
      <c r="B158" s="193" t="s">
        <v>225</v>
      </c>
      <c r="C158" s="209" t="s">
        <v>236</v>
      </c>
      <c r="D158" s="198"/>
      <c r="E158" s="198"/>
      <c r="F158" s="196"/>
      <c r="G158" s="196"/>
      <c r="H158" s="196"/>
      <c r="I158" s="196"/>
      <c r="J158" s="196"/>
    </row>
    <row r="159" spans="1:10" ht="15" thickBot="1">
      <c r="A159" s="192"/>
      <c r="B159" s="195"/>
      <c r="C159" s="195"/>
      <c r="D159" s="198"/>
      <c r="E159" s="198"/>
      <c r="F159" s="198"/>
      <c r="G159" s="198"/>
      <c r="H159" s="198"/>
      <c r="I159" s="198"/>
      <c r="J159" s="198"/>
    </row>
    <row r="160" spans="1:10" ht="15" thickBot="1">
      <c r="A160" s="192"/>
      <c r="B160" s="193" t="s">
        <v>237</v>
      </c>
      <c r="C160" s="209" t="s">
        <v>238</v>
      </c>
      <c r="D160" s="198"/>
      <c r="E160" s="198"/>
      <c r="F160" s="198"/>
      <c r="G160" s="198"/>
      <c r="H160" s="198"/>
      <c r="I160" s="198"/>
      <c r="J160" s="198"/>
    </row>
    <row r="161" spans="1:10" ht="15" thickBot="1">
      <c r="A161" s="192"/>
      <c r="B161" s="195"/>
      <c r="C161" s="195" t="s">
        <v>239</v>
      </c>
      <c r="D161" s="198"/>
      <c r="E161" s="198"/>
      <c r="F161" s="198"/>
      <c r="G161" s="198"/>
      <c r="H161" s="198"/>
      <c r="I161" s="198"/>
      <c r="J161" s="198"/>
    </row>
    <row r="162" spans="1:10" ht="15" thickBot="1">
      <c r="A162" s="192"/>
      <c r="B162" s="195"/>
      <c r="C162" s="195"/>
      <c r="D162" s="198"/>
      <c r="E162" s="198"/>
      <c r="F162" s="198"/>
      <c r="G162" s="198"/>
      <c r="H162" s="198"/>
      <c r="I162" s="198"/>
      <c r="J162" s="198"/>
    </row>
    <row r="163" spans="1:10" ht="15" thickBot="1">
      <c r="A163" s="192"/>
      <c r="B163" s="193" t="s">
        <v>240</v>
      </c>
      <c r="C163" s="209" t="s">
        <v>241</v>
      </c>
      <c r="D163" s="198"/>
      <c r="E163" s="198"/>
      <c r="F163" s="195"/>
      <c r="G163" s="195"/>
      <c r="H163" s="195"/>
      <c r="I163" s="195"/>
      <c r="J163" s="195"/>
    </row>
    <row r="164" spans="1:10" ht="15" thickBot="1">
      <c r="A164" s="192"/>
      <c r="B164" s="195"/>
      <c r="C164" s="195" t="s">
        <v>242</v>
      </c>
      <c r="D164" s="198"/>
      <c r="E164" s="198"/>
      <c r="F164" s="195"/>
      <c r="G164" s="195"/>
      <c r="H164" s="195"/>
      <c r="I164" s="195"/>
      <c r="J164" s="195"/>
    </row>
    <row r="165" spans="1:10" ht="15" thickBot="1">
      <c r="A165" s="192"/>
      <c r="B165" s="195"/>
      <c r="C165" s="195"/>
      <c r="D165" s="198"/>
      <c r="E165" s="198"/>
      <c r="F165" s="195"/>
      <c r="G165" s="195"/>
      <c r="H165" s="195"/>
      <c r="I165" s="195"/>
      <c r="J165" s="195"/>
    </row>
    <row r="166" spans="1:10">
      <c r="A166" s="62"/>
      <c r="B166" s="61" t="s">
        <v>29</v>
      </c>
      <c r="I166" s="13"/>
      <c r="J166" s="13"/>
    </row>
    <row r="167" spans="1:10" ht="16" thickBot="1">
      <c r="A167" s="192"/>
      <c r="B167" s="206"/>
      <c r="C167" s="206"/>
      <c r="D167" s="206"/>
      <c r="E167" s="206"/>
      <c r="F167" s="207"/>
      <c r="G167" s="207"/>
      <c r="H167" s="207"/>
      <c r="I167" s="207"/>
      <c r="J167" s="207"/>
    </row>
    <row r="168" spans="1:10" ht="31" thickBot="1">
      <c r="A168" s="3"/>
      <c r="B168" s="9"/>
      <c r="C168" s="10"/>
      <c r="D168" s="11"/>
      <c r="E168" s="12" t="s">
        <v>3</v>
      </c>
      <c r="F168" s="12" t="s">
        <v>4</v>
      </c>
      <c r="G168" s="12" t="s">
        <v>5</v>
      </c>
      <c r="H168" s="12" t="s">
        <v>32</v>
      </c>
      <c r="I168" s="12" t="s">
        <v>7</v>
      </c>
      <c r="J168" s="12" t="s">
        <v>8</v>
      </c>
    </row>
    <row r="169" spans="1:10" ht="15" thickBot="1">
      <c r="A169" s="3"/>
      <c r="B169" s="970" t="s">
        <v>202</v>
      </c>
      <c r="C169" s="971"/>
      <c r="D169" s="972"/>
      <c r="E169" s="973" t="s">
        <v>229</v>
      </c>
      <c r="F169" s="974"/>
      <c r="G169" s="974"/>
      <c r="H169" s="974"/>
      <c r="I169" s="974"/>
      <c r="J169" s="974"/>
    </row>
    <row r="170" spans="1:10" ht="15" thickBot="1">
      <c r="A170" s="3"/>
      <c r="B170" s="981" t="s">
        <v>113</v>
      </c>
      <c r="C170" s="982"/>
      <c r="D170" s="983"/>
      <c r="E170" s="984" t="s">
        <v>113</v>
      </c>
      <c r="F170" s="985"/>
      <c r="G170" s="985"/>
      <c r="H170" s="985"/>
      <c r="I170" s="985"/>
      <c r="J170" s="985"/>
    </row>
    <row r="171" spans="1:10" ht="15" thickBot="1">
      <c r="A171" s="3"/>
      <c r="B171" s="975" t="s">
        <v>10</v>
      </c>
      <c r="C171" s="976"/>
      <c r="D171" s="977"/>
      <c r="E171" s="978" t="s">
        <v>10</v>
      </c>
      <c r="F171" s="979"/>
      <c r="G171" s="979"/>
      <c r="H171" s="979"/>
      <c r="I171" s="979"/>
      <c r="J171" s="979"/>
    </row>
    <row r="172" spans="1:10" ht="15" thickBot="1">
      <c r="A172" s="192"/>
      <c r="B172" s="195"/>
      <c r="C172" s="193"/>
      <c r="D172" s="198"/>
      <c r="E172" s="208"/>
      <c r="F172" s="198"/>
      <c r="G172" s="208"/>
      <c r="H172" s="198"/>
      <c r="I172" s="208"/>
      <c r="J172" s="208"/>
    </row>
    <row r="173" spans="1:10" ht="15" thickBot="1">
      <c r="A173" s="192"/>
      <c r="B173" s="209" t="s">
        <v>246</v>
      </c>
      <c r="C173" s="195"/>
      <c r="D173" s="195"/>
      <c r="E173" s="195"/>
      <c r="F173" s="195"/>
      <c r="G173" s="208"/>
      <c r="H173" s="195"/>
      <c r="I173" s="208"/>
      <c r="J173" s="208"/>
    </row>
    <row r="174" spans="1:10" ht="15" thickBot="1">
      <c r="A174" s="192"/>
      <c r="B174" s="209"/>
      <c r="C174" s="195"/>
      <c r="D174" s="195"/>
      <c r="E174" s="195"/>
      <c r="F174" s="195"/>
      <c r="G174" s="208"/>
      <c r="H174" s="195"/>
      <c r="I174" s="208"/>
      <c r="J174" s="208"/>
    </row>
    <row r="175" spans="1:10" ht="15" thickBot="1">
      <c r="A175" s="192"/>
      <c r="B175" s="195" t="s">
        <v>247</v>
      </c>
      <c r="C175" s="195"/>
      <c r="D175" s="195"/>
      <c r="E175" s="195"/>
      <c r="F175" s="195"/>
      <c r="G175" s="208"/>
      <c r="H175" s="195"/>
      <c r="I175" s="208"/>
      <c r="J175" s="208"/>
    </row>
    <row r="176" spans="1:10" ht="15" thickBot="1">
      <c r="A176" s="192"/>
      <c r="B176" s="195" t="s">
        <v>248</v>
      </c>
      <c r="C176" s="195"/>
      <c r="D176" s="195"/>
      <c r="E176" s="195"/>
      <c r="F176" s="195"/>
      <c r="G176" s="208"/>
      <c r="H176" s="195"/>
      <c r="I176" s="208"/>
      <c r="J176" s="208"/>
    </row>
    <row r="177" spans="1:10" ht="15" thickBot="1">
      <c r="A177" s="192"/>
      <c r="B177" s="195"/>
      <c r="C177" s="195"/>
      <c r="D177" s="195"/>
      <c r="E177" s="195"/>
      <c r="F177" s="195"/>
      <c r="G177" s="208"/>
      <c r="H177" s="195"/>
      <c r="I177" s="208"/>
      <c r="J177" s="208"/>
    </row>
    <row r="178" spans="1:10" ht="15" thickBot="1">
      <c r="A178" s="192"/>
      <c r="B178" s="195"/>
      <c r="C178" s="193" t="s">
        <v>249</v>
      </c>
      <c r="D178" s="195"/>
      <c r="E178" s="195"/>
      <c r="F178" s="195"/>
      <c r="G178" s="208"/>
      <c r="H178" s="195"/>
      <c r="I178" s="208"/>
      <c r="J178" s="208"/>
    </row>
    <row r="179" spans="1:10" ht="15" thickBot="1">
      <c r="A179" s="192"/>
      <c r="B179" s="195"/>
      <c r="C179" s="195" t="s">
        <v>250</v>
      </c>
      <c r="D179" s="198"/>
      <c r="E179" s="208"/>
      <c r="F179" s="198"/>
      <c r="G179" s="198">
        <v>665.5</v>
      </c>
      <c r="H179" s="198">
        <f>G179*10%+G179</f>
        <v>732.05</v>
      </c>
      <c r="I179" s="198">
        <f>H179*10%+H179</f>
        <v>805.255</v>
      </c>
      <c r="J179" s="198">
        <f>I179*10%+I179</f>
        <v>885.78049999999996</v>
      </c>
    </row>
    <row r="180" spans="1:10" ht="15" thickBot="1">
      <c r="A180" s="192"/>
      <c r="B180" s="195"/>
      <c r="C180" s="195" t="s">
        <v>251</v>
      </c>
      <c r="D180" s="198"/>
      <c r="E180" s="208"/>
      <c r="F180" s="198"/>
      <c r="G180" s="198">
        <v>665.5</v>
      </c>
      <c r="H180" s="198">
        <f t="shared" ref="H180:J183" si="5">G180*10%+G180</f>
        <v>732.05</v>
      </c>
      <c r="I180" s="198">
        <f t="shared" si="5"/>
        <v>805.255</v>
      </c>
      <c r="J180" s="198">
        <f t="shared" si="5"/>
        <v>885.78049999999996</v>
      </c>
    </row>
    <row r="181" spans="1:10" ht="31" thickBot="1">
      <c r="A181" s="192"/>
      <c r="B181" s="195"/>
      <c r="C181" s="210" t="s">
        <v>252</v>
      </c>
      <c r="D181" s="198"/>
      <c r="E181" s="208"/>
      <c r="F181" s="198"/>
      <c r="G181" s="198">
        <v>665.5</v>
      </c>
      <c r="H181" s="198">
        <f t="shared" si="5"/>
        <v>732.05</v>
      </c>
      <c r="I181" s="198">
        <f t="shared" si="5"/>
        <v>805.255</v>
      </c>
      <c r="J181" s="198">
        <f t="shared" si="5"/>
        <v>885.78049999999996</v>
      </c>
    </row>
    <row r="182" spans="1:10" ht="15" thickBot="1">
      <c r="A182" s="192"/>
      <c r="B182" s="195"/>
      <c r="C182" s="195" t="s">
        <v>253</v>
      </c>
      <c r="D182" s="198"/>
      <c r="E182" s="208"/>
      <c r="F182" s="198"/>
      <c r="G182" s="198">
        <v>200</v>
      </c>
      <c r="H182" s="198">
        <f t="shared" si="5"/>
        <v>220</v>
      </c>
      <c r="I182" s="198">
        <f t="shared" si="5"/>
        <v>242</v>
      </c>
      <c r="J182" s="198">
        <f t="shared" si="5"/>
        <v>266.2</v>
      </c>
    </row>
    <row r="183" spans="1:10" ht="15" thickBot="1">
      <c r="A183" s="192"/>
      <c r="B183" s="195"/>
      <c r="C183" s="195" t="s">
        <v>254</v>
      </c>
      <c r="D183" s="198"/>
      <c r="E183" s="208"/>
      <c r="F183" s="198"/>
      <c r="G183" s="198">
        <v>100</v>
      </c>
      <c r="H183" s="198">
        <f t="shared" si="5"/>
        <v>110</v>
      </c>
      <c r="I183" s="198">
        <f t="shared" si="5"/>
        <v>121</v>
      </c>
      <c r="J183" s="198">
        <f t="shared" si="5"/>
        <v>133.1</v>
      </c>
    </row>
    <row r="184" spans="1:10" ht="76" thickBot="1">
      <c r="A184" s="192"/>
      <c r="B184" s="195"/>
      <c r="C184" s="210" t="s">
        <v>255</v>
      </c>
      <c r="D184" s="195"/>
      <c r="E184" s="195"/>
      <c r="F184" s="195"/>
      <c r="G184" s="208"/>
      <c r="H184" s="195"/>
      <c r="I184" s="208"/>
      <c r="J184" s="208"/>
    </row>
    <row r="185" spans="1:10" ht="31" thickBot="1">
      <c r="A185" s="3"/>
      <c r="B185" s="14" t="s">
        <v>256</v>
      </c>
      <c r="C185" s="15"/>
      <c r="D185" s="16"/>
      <c r="E185" s="12" t="s">
        <v>3</v>
      </c>
      <c r="F185" s="12" t="s">
        <v>4</v>
      </c>
      <c r="G185" s="12" t="s">
        <v>5</v>
      </c>
      <c r="H185" s="12" t="s">
        <v>32</v>
      </c>
      <c r="I185" s="12" t="s">
        <v>7</v>
      </c>
      <c r="J185" s="12" t="s">
        <v>8</v>
      </c>
    </row>
    <row r="186" spans="1:10">
      <c r="A186" s="3"/>
      <c r="B186" s="211" t="s">
        <v>257</v>
      </c>
      <c r="C186" s="40" t="s">
        <v>258</v>
      </c>
      <c r="D186" s="41"/>
      <c r="E186" s="212"/>
      <c r="F186" s="213"/>
      <c r="G186" s="213">
        <v>1331</v>
      </c>
      <c r="H186" s="70">
        <v>1464.1000000000001</v>
      </c>
      <c r="I186" s="30">
        <v>1610.5100000000002</v>
      </c>
      <c r="J186" s="30">
        <v>1771.5610000000004</v>
      </c>
    </row>
    <row r="187" spans="1:10" ht="15" thickBot="1">
      <c r="A187" s="3"/>
      <c r="B187" s="214" t="s">
        <v>259</v>
      </c>
      <c r="C187" s="44" t="s">
        <v>260</v>
      </c>
      <c r="D187" s="45"/>
      <c r="E187" s="215"/>
      <c r="F187" s="216"/>
      <c r="G187" s="216">
        <v>2662</v>
      </c>
      <c r="H187" s="217">
        <v>2928.2000000000003</v>
      </c>
      <c r="I187" s="47">
        <v>3221.0200000000004</v>
      </c>
      <c r="J187" s="47">
        <v>3543.1220000000008</v>
      </c>
    </row>
    <row r="188" spans="1:10">
      <c r="A188" s="3"/>
      <c r="B188" s="211" t="s">
        <v>261</v>
      </c>
      <c r="C188" s="40" t="s">
        <v>262</v>
      </c>
      <c r="D188" s="41"/>
      <c r="E188" s="212"/>
      <c r="F188" s="213"/>
      <c r="G188" s="213">
        <v>1464.1000000000001</v>
      </c>
      <c r="H188" s="70">
        <v>1610.5100000000002</v>
      </c>
      <c r="I188" s="30">
        <v>1771.5610000000004</v>
      </c>
      <c r="J188" s="30">
        <v>1948.7171000000005</v>
      </c>
    </row>
    <row r="189" spans="1:10" ht="15" thickBot="1">
      <c r="A189" s="3"/>
      <c r="B189" s="214" t="s">
        <v>263</v>
      </c>
      <c r="C189" s="44" t="s">
        <v>264</v>
      </c>
      <c r="D189" s="45"/>
      <c r="E189" s="215"/>
      <c r="F189" s="216"/>
      <c r="G189" s="216">
        <v>2920.9400000000005</v>
      </c>
      <c r="H189" s="217">
        <v>3213.034000000001</v>
      </c>
      <c r="I189" s="47">
        <v>3534.3374000000013</v>
      </c>
      <c r="J189" s="47">
        <v>3887.7711400000017</v>
      </c>
    </row>
    <row r="190" spans="1:10" ht="15" thickBot="1">
      <c r="A190" s="3"/>
      <c r="B190" s="218" t="s">
        <v>265</v>
      </c>
      <c r="C190" s="21" t="s">
        <v>266</v>
      </c>
      <c r="D190" s="48"/>
      <c r="E190" s="219"/>
      <c r="F190" s="50"/>
      <c r="G190" s="50" t="s">
        <v>267</v>
      </c>
      <c r="H190" s="220" t="s">
        <v>267</v>
      </c>
      <c r="I190" s="221" t="s">
        <v>267</v>
      </c>
      <c r="J190" s="221" t="s">
        <v>267</v>
      </c>
    </row>
    <row r="191" spans="1:10">
      <c r="A191" s="3"/>
      <c r="B191" s="211" t="s">
        <v>268</v>
      </c>
      <c r="C191" s="40" t="s">
        <v>269</v>
      </c>
      <c r="D191" s="41"/>
      <c r="E191" s="212"/>
      <c r="F191" s="213"/>
      <c r="G191" s="213" t="s">
        <v>267</v>
      </c>
      <c r="H191" s="70" t="s">
        <v>267</v>
      </c>
      <c r="I191" s="30" t="s">
        <v>267</v>
      </c>
      <c r="J191" s="30" t="s">
        <v>267</v>
      </c>
    </row>
    <row r="192" spans="1:10">
      <c r="A192" s="3"/>
      <c r="B192" s="222" t="s">
        <v>270</v>
      </c>
      <c r="C192" s="33" t="s">
        <v>271</v>
      </c>
      <c r="D192" s="34"/>
      <c r="E192" s="223"/>
      <c r="F192" s="224"/>
      <c r="G192" s="224" t="s">
        <v>267</v>
      </c>
      <c r="H192" s="225" t="s">
        <v>267</v>
      </c>
      <c r="I192" s="36" t="s">
        <v>267</v>
      </c>
      <c r="J192" s="36" t="s">
        <v>267</v>
      </c>
    </row>
    <row r="193" spans="1:10">
      <c r="A193" s="3"/>
      <c r="B193" s="222"/>
      <c r="C193" s="33" t="s">
        <v>272</v>
      </c>
      <c r="D193" s="34"/>
      <c r="E193" s="223"/>
      <c r="F193" s="224"/>
      <c r="G193" s="224" t="s">
        <v>267</v>
      </c>
      <c r="H193" s="225" t="s">
        <v>267</v>
      </c>
      <c r="I193" s="36" t="s">
        <v>267</v>
      </c>
      <c r="J193" s="36" t="s">
        <v>267</v>
      </c>
    </row>
    <row r="194" spans="1:10">
      <c r="A194" s="3"/>
      <c r="B194" s="222"/>
      <c r="C194" s="33" t="s">
        <v>273</v>
      </c>
      <c r="D194" s="34"/>
      <c r="E194" s="223"/>
      <c r="F194" s="224"/>
      <c r="G194" s="224" t="s">
        <v>267</v>
      </c>
      <c r="H194" s="225" t="s">
        <v>267</v>
      </c>
      <c r="I194" s="36" t="s">
        <v>267</v>
      </c>
      <c r="J194" s="36" t="s">
        <v>267</v>
      </c>
    </row>
    <row r="195" spans="1:10" ht="15" thickBot="1">
      <c r="A195" s="3"/>
      <c r="B195" s="214"/>
      <c r="C195" s="44" t="s">
        <v>274</v>
      </c>
      <c r="D195" s="45"/>
      <c r="E195" s="215"/>
      <c r="F195" s="216"/>
      <c r="G195" s="216"/>
      <c r="H195" s="217"/>
      <c r="I195" s="217"/>
      <c r="J195" s="217"/>
    </row>
    <row r="196" spans="1:10" ht="15" thickBot="1">
      <c r="A196" s="3"/>
      <c r="B196" s="218" t="s">
        <v>275</v>
      </c>
      <c r="C196" s="21"/>
      <c r="D196" s="48"/>
      <c r="E196" s="219"/>
      <c r="F196" s="226"/>
      <c r="G196" s="226">
        <v>53.240000000000009</v>
      </c>
      <c r="H196" s="227">
        <v>58.564000000000014</v>
      </c>
      <c r="I196" s="79">
        <v>64.420400000000015</v>
      </c>
      <c r="J196" s="79">
        <v>70.862440000000021</v>
      </c>
    </row>
    <row r="197" spans="1:10" ht="15" thickBot="1">
      <c r="A197" s="3"/>
      <c r="B197" s="218" t="s">
        <v>276</v>
      </c>
      <c r="C197" s="40"/>
      <c r="D197" s="228"/>
      <c r="E197" s="219"/>
      <c r="F197" s="226"/>
      <c r="G197" s="226">
        <v>423.50000000000011</v>
      </c>
      <c r="H197" s="227">
        <v>465.85000000000014</v>
      </c>
      <c r="I197" s="79">
        <v>512.43500000000017</v>
      </c>
      <c r="J197" s="79">
        <v>563.67850000000021</v>
      </c>
    </row>
    <row r="198" spans="1:10" ht="15" thickBot="1">
      <c r="A198" s="3"/>
      <c r="B198" s="229" t="s">
        <v>277</v>
      </c>
      <c r="C198" s="74"/>
      <c r="D198" s="63"/>
      <c r="E198" s="230"/>
      <c r="F198" s="226"/>
      <c r="G198" s="226">
        <v>121.00000000000003</v>
      </c>
      <c r="H198" s="227">
        <v>133.10000000000005</v>
      </c>
      <c r="I198" s="79">
        <v>146.41000000000008</v>
      </c>
      <c r="J198" s="79">
        <v>161.0510000000001</v>
      </c>
    </row>
    <row r="199" spans="1:10" ht="15" thickBot="1">
      <c r="A199" s="3"/>
      <c r="B199" s="218" t="s">
        <v>64</v>
      </c>
      <c r="C199" s="21"/>
      <c r="D199" s="22"/>
      <c r="E199" s="231"/>
      <c r="F199" s="232"/>
      <c r="G199" s="232" t="s">
        <v>65</v>
      </c>
      <c r="H199" s="233" t="s">
        <v>65</v>
      </c>
      <c r="I199" s="232" t="s">
        <v>65</v>
      </c>
      <c r="J199" s="232" t="s">
        <v>65</v>
      </c>
    </row>
    <row r="200" spans="1:10" s="149" customFormat="1" ht="15" thickBot="1">
      <c r="A200" s="153"/>
      <c r="B200" s="178" t="s">
        <v>278</v>
      </c>
      <c r="C200" s="958" t="s">
        <v>279</v>
      </c>
      <c r="D200" s="959"/>
      <c r="E200" s="234"/>
      <c r="F200" s="164"/>
      <c r="G200" s="186">
        <v>176.55</v>
      </c>
      <c r="H200" s="235">
        <v>194.20500000000004</v>
      </c>
      <c r="I200" s="161">
        <v>213.62550000000007</v>
      </c>
      <c r="J200" s="161">
        <v>234.9880500000001</v>
      </c>
    </row>
    <row r="201" spans="1:10" s="149" customFormat="1" ht="15" thickBot="1">
      <c r="A201" s="153"/>
      <c r="B201" s="178" t="s">
        <v>280</v>
      </c>
      <c r="C201" s="958" t="s">
        <v>281</v>
      </c>
      <c r="D201" s="959"/>
      <c r="E201" s="234"/>
      <c r="F201" s="164"/>
      <c r="G201" s="186">
        <v>317.79000000000002</v>
      </c>
      <c r="H201" s="235">
        <v>349.56900000000007</v>
      </c>
      <c r="I201" s="161">
        <v>384.52590000000009</v>
      </c>
      <c r="J201" s="161">
        <v>422.97849000000014</v>
      </c>
    </row>
    <row r="204" spans="1:10">
      <c r="B204" s="298" t="s">
        <v>426</v>
      </c>
      <c r="C204" s="298"/>
    </row>
    <row r="205" spans="1:10">
      <c r="B205" s="298" t="s">
        <v>427</v>
      </c>
      <c r="C205" s="298"/>
    </row>
    <row r="206" spans="1:10">
      <c r="B206" s="298" t="s">
        <v>282</v>
      </c>
      <c r="C206" s="298"/>
    </row>
    <row r="207" spans="1:10">
      <c r="B207" s="299" t="s">
        <v>284</v>
      </c>
      <c r="H207" s="62">
        <v>100</v>
      </c>
    </row>
    <row r="208" spans="1:10">
      <c r="B208" s="108" t="s">
        <v>285</v>
      </c>
      <c r="C208" s="108"/>
      <c r="H208" s="62">
        <v>250</v>
      </c>
    </row>
    <row r="209" spans="2:8">
      <c r="B209" s="62" t="s">
        <v>286</v>
      </c>
      <c r="H209" s="62">
        <v>350</v>
      </c>
    </row>
    <row r="210" spans="2:8">
      <c r="B210" s="62" t="s">
        <v>287</v>
      </c>
      <c r="H210" s="62">
        <v>500</v>
      </c>
    </row>
    <row r="211" spans="2:8">
      <c r="B211" s="62" t="s">
        <v>288</v>
      </c>
      <c r="H211" s="62">
        <v>750</v>
      </c>
    </row>
    <row r="212" spans="2:8">
      <c r="B212" s="62" t="s">
        <v>289</v>
      </c>
      <c r="H212" s="62">
        <v>1000</v>
      </c>
    </row>
    <row r="213" spans="2:8">
      <c r="B213" s="62" t="s">
        <v>290</v>
      </c>
      <c r="H213" s="62">
        <v>5000</v>
      </c>
    </row>
    <row r="214" spans="2:8">
      <c r="B214" s="62" t="s">
        <v>291</v>
      </c>
      <c r="H214" s="62">
        <v>10000</v>
      </c>
    </row>
    <row r="215" spans="2:8">
      <c r="B215" s="62" t="s">
        <v>292</v>
      </c>
    </row>
    <row r="216" spans="2:8">
      <c r="B216" s="108" t="s">
        <v>293</v>
      </c>
    </row>
    <row r="217" spans="2:8">
      <c r="B217" s="62" t="s">
        <v>294</v>
      </c>
      <c r="H217" s="62">
        <v>100</v>
      </c>
    </row>
    <row r="218" spans="2:8">
      <c r="B218" s="62" t="s">
        <v>295</v>
      </c>
      <c r="H218" s="62">
        <v>50</v>
      </c>
    </row>
    <row r="219" spans="2:8">
      <c r="B219" s="108" t="s">
        <v>296</v>
      </c>
    </row>
    <row r="220" spans="2:8">
      <c r="B220" s="62" t="s">
        <v>428</v>
      </c>
    </row>
  </sheetData>
  <mergeCells count="19">
    <mergeCell ref="B171:D171"/>
    <mergeCell ref="E171:J171"/>
    <mergeCell ref="C200:D200"/>
    <mergeCell ref="C201:D201"/>
    <mergeCell ref="B139:D139"/>
    <mergeCell ref="E139:J139"/>
    <mergeCell ref="B169:D169"/>
    <mergeCell ref="E169:J169"/>
    <mergeCell ref="B170:D170"/>
    <mergeCell ref="E170:J170"/>
    <mergeCell ref="B95:D95"/>
    <mergeCell ref="E95:J95"/>
    <mergeCell ref="B4:D4"/>
    <mergeCell ref="E4:J4"/>
    <mergeCell ref="B33:D33"/>
    <mergeCell ref="E33:J33"/>
    <mergeCell ref="E35:J35"/>
    <mergeCell ref="B76:D76"/>
    <mergeCell ref="E76:J76"/>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O204"/>
  <sheetViews>
    <sheetView topLeftCell="C1" workbookViewId="0">
      <selection activeCell="O10" sqref="O10:O66"/>
    </sheetView>
  </sheetViews>
  <sheetFormatPr baseColWidth="10" defaultColWidth="9.1640625" defaultRowHeight="14"/>
  <cols>
    <col min="1" max="1" width="4.5" style="148" hidden="1" customWidth="1"/>
    <col min="2" max="2" width="30" style="62" customWidth="1"/>
    <col min="3" max="3" width="35" style="62" customWidth="1"/>
    <col min="4" max="4" width="15.6640625" style="62" bestFit="1" customWidth="1"/>
    <col min="5" max="6" width="13.1640625" style="62" hidden="1" customWidth="1"/>
    <col min="7" max="7" width="15.33203125" style="62" customWidth="1"/>
    <col min="8" max="8" width="13.83203125" style="62" customWidth="1"/>
    <col min="9" max="9" width="15.5" style="62" customWidth="1"/>
    <col min="10" max="10" width="13.5" style="62" customWidth="1"/>
    <col min="11" max="11" width="2.33203125" style="13" customWidth="1"/>
    <col min="12" max="12" width="19.33203125" style="13" customWidth="1"/>
    <col min="13" max="16384" width="9.1640625" style="13"/>
  </cols>
  <sheetData>
    <row r="1" spans="1:15" s="5" customFormat="1" ht="26">
      <c r="A1" s="1" t="s">
        <v>0</v>
      </c>
      <c r="B1" s="2"/>
      <c r="C1" s="2"/>
      <c r="D1" s="2"/>
      <c r="E1" s="3"/>
      <c r="F1" s="3"/>
      <c r="G1" s="3"/>
      <c r="H1" s="4"/>
      <c r="I1" s="4"/>
      <c r="J1" s="4"/>
    </row>
    <row r="2" spans="1:15" s="5" customFormat="1" ht="20" thickBot="1">
      <c r="A2" s="6" t="s">
        <v>1</v>
      </c>
      <c r="B2" s="7"/>
      <c r="C2" s="7"/>
      <c r="D2" s="7"/>
      <c r="E2" s="8"/>
      <c r="F2" s="8"/>
      <c r="G2" s="8"/>
      <c r="H2" s="4"/>
      <c r="I2" s="4"/>
      <c r="J2" s="4"/>
    </row>
    <row r="3" spans="1:15" ht="31" thickBot="1">
      <c r="A3" s="3"/>
      <c r="B3" s="9" t="s">
        <v>2</v>
      </c>
      <c r="C3" s="10"/>
      <c r="D3" s="11"/>
      <c r="E3" s="12" t="s">
        <v>3</v>
      </c>
      <c r="F3" s="12" t="s">
        <v>4</v>
      </c>
      <c r="G3" s="12" t="s">
        <v>5</v>
      </c>
      <c r="H3" s="12" t="s">
        <v>6</v>
      </c>
      <c r="I3" s="12" t="s">
        <v>7</v>
      </c>
      <c r="J3" s="12" t="s">
        <v>8</v>
      </c>
    </row>
    <row r="4" spans="1:15" s="283" customFormat="1" ht="17" thickBot="1">
      <c r="A4" s="282"/>
      <c r="B4" s="953" t="s">
        <v>202</v>
      </c>
      <c r="C4" s="954"/>
      <c r="D4" s="955"/>
      <c r="E4" s="956" t="s">
        <v>203</v>
      </c>
      <c r="F4" s="957"/>
      <c r="G4" s="957"/>
      <c r="H4" s="957"/>
      <c r="I4" s="957"/>
      <c r="J4" s="957"/>
      <c r="L4" s="284"/>
    </row>
    <row r="5" spans="1:15" s="149" customFormat="1" ht="15" thickBot="1">
      <c r="C5" s="150"/>
      <c r="D5" s="151"/>
      <c r="E5" s="152"/>
      <c r="F5" s="152"/>
      <c r="G5" s="152"/>
      <c r="H5" s="151"/>
      <c r="I5" s="151"/>
      <c r="J5" s="151"/>
    </row>
    <row r="6" spans="1:15" s="149" customFormat="1" ht="31" thickBot="1">
      <c r="A6" s="153"/>
      <c r="B6" s="9" t="s">
        <v>204</v>
      </c>
      <c r="C6" s="10"/>
      <c r="D6" s="11"/>
      <c r="E6" s="64" t="s">
        <v>3</v>
      </c>
      <c r="F6" s="64" t="s">
        <v>4</v>
      </c>
      <c r="G6" s="64" t="s">
        <v>5</v>
      </c>
      <c r="H6" s="64" t="s">
        <v>32</v>
      </c>
      <c r="I6" s="64" t="s">
        <v>7</v>
      </c>
      <c r="J6" s="64" t="s">
        <v>8</v>
      </c>
    </row>
    <row r="7" spans="1:15" ht="16" thickBot="1">
      <c r="A7" s="192"/>
      <c r="B7" s="193" t="s">
        <v>205</v>
      </c>
      <c r="C7" s="194" t="s">
        <v>206</v>
      </c>
      <c r="D7" s="195"/>
      <c r="E7" s="195"/>
      <c r="F7" s="196"/>
      <c r="G7" s="195"/>
      <c r="H7" s="196"/>
      <c r="I7" s="195"/>
      <c r="J7" s="195"/>
      <c r="L7" s="195"/>
    </row>
    <row r="8" spans="1:15" ht="16" thickBot="1">
      <c r="A8" s="192"/>
      <c r="B8" s="193"/>
      <c r="C8" s="195"/>
      <c r="D8" s="195"/>
      <c r="E8" s="195"/>
      <c r="F8" s="196"/>
      <c r="G8" s="195"/>
      <c r="H8" s="196"/>
      <c r="I8" s="195"/>
      <c r="J8" s="195"/>
      <c r="L8" s="195"/>
      <c r="O8" s="13" t="s">
        <v>423</v>
      </c>
    </row>
    <row r="9" spans="1:15" ht="16" thickBot="1">
      <c r="A9" s="192"/>
      <c r="B9" s="193"/>
      <c r="C9" s="197" t="s">
        <v>207</v>
      </c>
      <c r="D9" s="195"/>
      <c r="E9" s="195"/>
      <c r="F9" s="196"/>
      <c r="G9" s="195"/>
      <c r="H9" s="196"/>
      <c r="I9" s="195"/>
      <c r="J9" s="195"/>
      <c r="L9" s="195"/>
      <c r="M9" s="285"/>
      <c r="O9" s="316"/>
    </row>
    <row r="10" spans="1:15" ht="16" thickBot="1">
      <c r="A10" s="192"/>
      <c r="B10" s="195"/>
      <c r="C10" s="195" t="s">
        <v>208</v>
      </c>
      <c r="D10" s="198"/>
      <c r="E10" s="198">
        <v>49.43</v>
      </c>
      <c r="F10" s="196">
        <v>53.55</v>
      </c>
      <c r="G10" s="186">
        <v>58.905000000000001</v>
      </c>
      <c r="H10" s="161">
        <f>G10*11.9%+G10</f>
        <v>65.914694999999995</v>
      </c>
      <c r="I10" s="161">
        <f>H10*11.9%+H10</f>
        <v>73.758543704999994</v>
      </c>
      <c r="J10" s="161">
        <f>I10*11.9%+I10</f>
        <v>82.535810405894992</v>
      </c>
      <c r="K10" s="300"/>
      <c r="L10" s="305">
        <v>62.271000000000008</v>
      </c>
      <c r="M10" s="301">
        <f>L10/G10</f>
        <v>1.0571428571428572</v>
      </c>
      <c r="N10" s="13">
        <v>5.71</v>
      </c>
      <c r="O10" s="316">
        <f t="shared" ref="O10:O44" si="0">N10/3/100</f>
        <v>1.9033333333333333E-2</v>
      </c>
    </row>
    <row r="11" spans="1:15" ht="16" thickBot="1">
      <c r="A11" s="192"/>
      <c r="B11" s="302" t="s">
        <v>116</v>
      </c>
      <c r="C11" s="302" t="s">
        <v>117</v>
      </c>
      <c r="D11" s="302"/>
      <c r="E11" s="302"/>
      <c r="F11" s="304">
        <f>+F10/2</f>
        <v>26.774999999999999</v>
      </c>
      <c r="G11" s="305">
        <f>+G10/2</f>
        <v>29.452500000000001</v>
      </c>
      <c r="H11" s="306">
        <f>+H10/2</f>
        <v>32.957347499999997</v>
      </c>
      <c r="I11" s="306">
        <f>+I10/2</f>
        <v>36.879271852499997</v>
      </c>
      <c r="J11" s="306">
        <f>+J10/2</f>
        <v>41.267905202947496</v>
      </c>
      <c r="K11" s="307"/>
      <c r="L11" s="305">
        <v>31.135500000000004</v>
      </c>
      <c r="M11" s="301">
        <f t="shared" ref="M11:M32" si="1">L11/G11</f>
        <v>1.0571428571428572</v>
      </c>
      <c r="N11" s="13">
        <v>5.71</v>
      </c>
      <c r="O11" s="316">
        <f t="shared" si="0"/>
        <v>1.9033333333333333E-2</v>
      </c>
    </row>
    <row r="12" spans="1:15" ht="16" thickBot="1">
      <c r="A12" s="192"/>
      <c r="B12" s="195"/>
      <c r="C12" s="199"/>
      <c r="D12" s="195"/>
      <c r="E12" s="195"/>
      <c r="F12" s="196"/>
      <c r="G12" s="196"/>
      <c r="H12" s="196"/>
      <c r="I12" s="196"/>
      <c r="J12" s="196"/>
      <c r="L12" s="305"/>
      <c r="M12" s="301" t="e">
        <f t="shared" si="1"/>
        <v>#DIV/0!</v>
      </c>
      <c r="O12" s="316">
        <f t="shared" si="0"/>
        <v>0</v>
      </c>
    </row>
    <row r="13" spans="1:15" ht="16" thickBot="1">
      <c r="A13" s="192"/>
      <c r="B13" s="195"/>
      <c r="C13" s="195" t="s">
        <v>209</v>
      </c>
      <c r="D13" s="198"/>
      <c r="E13" s="198"/>
      <c r="F13" s="196"/>
      <c r="G13" s="196"/>
      <c r="H13" s="196"/>
      <c r="I13" s="196"/>
      <c r="J13" s="196"/>
      <c r="L13" s="305"/>
      <c r="M13" s="301" t="e">
        <f t="shared" si="1"/>
        <v>#DIV/0!</v>
      </c>
      <c r="O13" s="316">
        <f t="shared" si="0"/>
        <v>0</v>
      </c>
    </row>
    <row r="14" spans="1:15" ht="16" thickBot="1">
      <c r="A14" s="192"/>
      <c r="B14" s="195"/>
      <c r="C14" s="200" t="s">
        <v>210</v>
      </c>
      <c r="D14" s="198"/>
      <c r="E14" s="198"/>
      <c r="F14" s="198" t="s">
        <v>14</v>
      </c>
      <c r="G14" s="198" t="s">
        <v>14</v>
      </c>
      <c r="H14" s="198" t="s">
        <v>14</v>
      </c>
      <c r="I14" s="198" t="s">
        <v>14</v>
      </c>
      <c r="J14" s="198" t="s">
        <v>14</v>
      </c>
      <c r="L14" s="196" t="s">
        <v>14</v>
      </c>
      <c r="M14" s="301" t="e">
        <f t="shared" si="1"/>
        <v>#VALUE!</v>
      </c>
      <c r="O14" s="316">
        <f t="shared" si="0"/>
        <v>0</v>
      </c>
    </row>
    <row r="15" spans="1:15" ht="16" thickBot="1">
      <c r="A15" s="192"/>
      <c r="B15" s="195"/>
      <c r="C15" s="200" t="s">
        <v>211</v>
      </c>
      <c r="D15" s="198"/>
      <c r="E15" s="198" t="s">
        <v>14</v>
      </c>
      <c r="F15" s="196">
        <v>2.2599999999999998</v>
      </c>
      <c r="G15" s="186">
        <v>2.4859999999999998</v>
      </c>
      <c r="H15" s="161">
        <v>2.7345999999999999</v>
      </c>
      <c r="I15" s="161">
        <v>3.00806</v>
      </c>
      <c r="J15" s="161">
        <v>3.3088660000000001</v>
      </c>
      <c r="L15" s="198">
        <v>2.63</v>
      </c>
      <c r="M15" s="301">
        <f t="shared" si="1"/>
        <v>1.0579243765084474</v>
      </c>
      <c r="N15" s="13">
        <v>5.79</v>
      </c>
      <c r="O15" s="316">
        <f t="shared" si="0"/>
        <v>1.9299999999999998E-2</v>
      </c>
    </row>
    <row r="16" spans="1:15" ht="16" thickBot="1">
      <c r="A16" s="192"/>
      <c r="B16" s="195"/>
      <c r="C16" s="200" t="s">
        <v>212</v>
      </c>
      <c r="D16" s="198"/>
      <c r="E16" s="198">
        <v>1.9</v>
      </c>
      <c r="F16" s="196">
        <v>2.91</v>
      </c>
      <c r="G16" s="186">
        <v>3.2010000000000005</v>
      </c>
      <c r="H16" s="161">
        <v>3.521100000000001</v>
      </c>
      <c r="I16" s="161">
        <v>3.8732100000000016</v>
      </c>
      <c r="J16" s="161">
        <v>4.2605310000000021</v>
      </c>
      <c r="L16" s="186">
        <v>3.3855</v>
      </c>
      <c r="M16" s="301">
        <f t="shared" si="1"/>
        <v>1.0576382380506091</v>
      </c>
      <c r="N16" s="13">
        <v>5.76</v>
      </c>
      <c r="O16" s="316">
        <f t="shared" si="0"/>
        <v>1.9199999999999998E-2</v>
      </c>
    </row>
    <row r="17" spans="1:15" ht="16" thickBot="1">
      <c r="A17" s="192"/>
      <c r="B17" s="195"/>
      <c r="C17" s="200" t="s">
        <v>213</v>
      </c>
      <c r="D17" s="198"/>
      <c r="E17" s="198">
        <v>1.9</v>
      </c>
      <c r="F17" s="196">
        <v>3.35</v>
      </c>
      <c r="G17" s="186">
        <v>3.6850000000000005</v>
      </c>
      <c r="H17" s="161">
        <v>4.0535000000000005</v>
      </c>
      <c r="I17" s="161">
        <v>4.4588500000000009</v>
      </c>
      <c r="J17" s="161">
        <v>4.9047350000000014</v>
      </c>
      <c r="L17" s="186">
        <v>3.8961000000000001</v>
      </c>
      <c r="M17" s="301">
        <f t="shared" si="1"/>
        <v>1.0572862957937583</v>
      </c>
      <c r="N17" s="13">
        <v>5.73</v>
      </c>
      <c r="O17" s="316">
        <f t="shared" si="0"/>
        <v>1.9100000000000002E-2</v>
      </c>
    </row>
    <row r="18" spans="1:15" ht="16" thickBot="1">
      <c r="A18" s="192"/>
      <c r="B18" s="195"/>
      <c r="C18" s="200" t="s">
        <v>214</v>
      </c>
      <c r="D18" s="198"/>
      <c r="E18" s="198">
        <v>2.02</v>
      </c>
      <c r="F18" s="196">
        <v>3.63</v>
      </c>
      <c r="G18" s="186">
        <v>3.9930000000000003</v>
      </c>
      <c r="H18" s="161">
        <v>4.3923000000000005</v>
      </c>
      <c r="I18" s="161">
        <v>4.8315300000000008</v>
      </c>
      <c r="J18" s="161">
        <v>5.3146830000000014</v>
      </c>
      <c r="L18" s="186">
        <v>4.4289000000000005</v>
      </c>
      <c r="M18" s="301">
        <f t="shared" si="1"/>
        <v>1.1091660405709993</v>
      </c>
      <c r="N18" s="13">
        <v>10.92</v>
      </c>
      <c r="O18" s="316">
        <f t="shared" si="0"/>
        <v>3.6400000000000002E-2</v>
      </c>
    </row>
    <row r="19" spans="1:15" ht="16" thickBot="1">
      <c r="A19" s="192"/>
      <c r="B19" s="195"/>
      <c r="C19" s="200"/>
      <c r="D19" s="198"/>
      <c r="E19" s="198"/>
      <c r="F19" s="196"/>
      <c r="G19" s="196"/>
      <c r="H19" s="196"/>
      <c r="I19" s="196"/>
      <c r="J19" s="196"/>
      <c r="L19" s="186"/>
      <c r="M19" s="301" t="e">
        <f t="shared" si="1"/>
        <v>#DIV/0!</v>
      </c>
      <c r="O19" s="316">
        <f t="shared" si="0"/>
        <v>0</v>
      </c>
    </row>
    <row r="20" spans="1:15" ht="16" thickBot="1">
      <c r="A20" s="192"/>
      <c r="B20" s="195"/>
      <c r="C20" s="201" t="s">
        <v>215</v>
      </c>
      <c r="D20" s="198"/>
      <c r="E20" s="198"/>
      <c r="F20" s="196"/>
      <c r="G20" s="196"/>
      <c r="H20" s="196"/>
      <c r="I20" s="196"/>
      <c r="J20" s="196"/>
      <c r="L20" s="196"/>
      <c r="M20" s="301" t="e">
        <f t="shared" si="1"/>
        <v>#DIV/0!</v>
      </c>
      <c r="O20" s="316">
        <f t="shared" si="0"/>
        <v>0</v>
      </c>
    </row>
    <row r="21" spans="1:15" ht="16" thickBot="1">
      <c r="A21" s="192"/>
      <c r="B21" s="195"/>
      <c r="C21" s="202" t="s">
        <v>216</v>
      </c>
      <c r="D21" s="198"/>
      <c r="E21" s="198">
        <v>0</v>
      </c>
      <c r="F21" s="196">
        <v>47.52</v>
      </c>
      <c r="G21" s="186">
        <v>52.272000000000006</v>
      </c>
      <c r="H21" s="161">
        <v>57.499200000000009</v>
      </c>
      <c r="I21" s="161">
        <v>63.249120000000012</v>
      </c>
      <c r="J21" s="161">
        <v>69.574032000000017</v>
      </c>
      <c r="L21" s="196">
        <v>55.266900000000007</v>
      </c>
      <c r="M21" s="301">
        <f t="shared" si="1"/>
        <v>1.0572945362718089</v>
      </c>
      <c r="N21" s="13">
        <v>5.73</v>
      </c>
      <c r="O21" s="316">
        <f t="shared" si="0"/>
        <v>1.9100000000000002E-2</v>
      </c>
    </row>
    <row r="22" spans="1:15" ht="16" thickBot="1">
      <c r="A22" s="192"/>
      <c r="B22" s="195"/>
      <c r="C22" s="200"/>
      <c r="D22" s="198"/>
      <c r="E22" s="198"/>
      <c r="F22" s="196"/>
      <c r="G22" s="196"/>
      <c r="H22" s="196"/>
      <c r="I22" s="196"/>
      <c r="J22" s="196"/>
      <c r="L22" s="186"/>
      <c r="M22" s="301" t="e">
        <f t="shared" si="1"/>
        <v>#DIV/0!</v>
      </c>
      <c r="O22" s="316">
        <f t="shared" si="0"/>
        <v>0</v>
      </c>
    </row>
    <row r="23" spans="1:15" ht="16" thickBot="1">
      <c r="A23" s="192"/>
      <c r="B23" s="195"/>
      <c r="C23" s="201" t="s">
        <v>217</v>
      </c>
      <c r="D23" s="198"/>
      <c r="E23" s="198"/>
      <c r="F23" s="196"/>
      <c r="G23" s="196"/>
      <c r="H23" s="196"/>
      <c r="I23" s="196"/>
      <c r="J23" s="196"/>
      <c r="L23" s="196"/>
      <c r="M23" s="301" t="e">
        <f t="shared" si="1"/>
        <v>#DIV/0!</v>
      </c>
      <c r="O23" s="316">
        <f t="shared" si="0"/>
        <v>0</v>
      </c>
    </row>
    <row r="24" spans="1:15" ht="16" thickBot="1">
      <c r="A24" s="192"/>
      <c r="B24" s="195"/>
      <c r="C24" s="195" t="s">
        <v>208</v>
      </c>
      <c r="D24" s="198"/>
      <c r="E24" s="198">
        <v>0</v>
      </c>
      <c r="F24" s="196">
        <v>0</v>
      </c>
      <c r="G24" s="196">
        <v>0</v>
      </c>
      <c r="H24" s="196">
        <v>0</v>
      </c>
      <c r="I24" s="196">
        <v>0</v>
      </c>
      <c r="J24" s="196"/>
      <c r="L24" s="196">
        <v>0</v>
      </c>
      <c r="M24" s="301" t="e">
        <f t="shared" si="1"/>
        <v>#DIV/0!</v>
      </c>
      <c r="O24" s="316">
        <f t="shared" si="0"/>
        <v>0</v>
      </c>
    </row>
    <row r="25" spans="1:15" ht="16" thickBot="1">
      <c r="A25" s="192"/>
      <c r="B25" s="195"/>
      <c r="C25" s="195" t="s">
        <v>209</v>
      </c>
      <c r="D25" s="198"/>
      <c r="E25" s="198">
        <v>0</v>
      </c>
      <c r="F25" s="196">
        <v>4.26</v>
      </c>
      <c r="G25" s="186">
        <v>4.6859999999999999</v>
      </c>
      <c r="H25" s="161">
        <v>5.1546000000000003</v>
      </c>
      <c r="I25" s="161">
        <v>5.6700600000000012</v>
      </c>
      <c r="J25" s="161">
        <v>6.2370660000000022</v>
      </c>
      <c r="L25" s="196">
        <v>4.9617000000000004</v>
      </c>
      <c r="M25" s="301">
        <f t="shared" si="1"/>
        <v>1.0588348271446864</v>
      </c>
      <c r="N25" s="13">
        <v>5.88</v>
      </c>
      <c r="O25" s="316">
        <f t="shared" si="0"/>
        <v>1.9599999999999999E-2</v>
      </c>
    </row>
    <row r="26" spans="1:15" ht="16" thickBot="1">
      <c r="A26" s="192"/>
      <c r="B26" s="195"/>
      <c r="C26" s="200"/>
      <c r="D26" s="198"/>
      <c r="E26" s="198"/>
      <c r="F26" s="196"/>
      <c r="G26" s="196"/>
      <c r="H26" s="196"/>
      <c r="I26" s="196"/>
      <c r="J26" s="196"/>
      <c r="L26" s="186"/>
      <c r="M26" s="301" t="e">
        <f t="shared" si="1"/>
        <v>#DIV/0!</v>
      </c>
      <c r="O26" s="316">
        <f t="shared" si="0"/>
        <v>0</v>
      </c>
    </row>
    <row r="27" spans="1:15" ht="16" thickBot="1">
      <c r="A27" s="192"/>
      <c r="B27" s="195"/>
      <c r="C27" s="201" t="s">
        <v>218</v>
      </c>
      <c r="D27" s="198"/>
      <c r="E27" s="198"/>
      <c r="F27" s="196"/>
      <c r="G27" s="196"/>
      <c r="H27" s="196"/>
      <c r="I27" s="196"/>
      <c r="J27" s="196"/>
      <c r="L27" s="196"/>
      <c r="M27" s="301" t="e">
        <f t="shared" si="1"/>
        <v>#DIV/0!</v>
      </c>
      <c r="O27" s="316">
        <f t="shared" si="0"/>
        <v>0</v>
      </c>
    </row>
    <row r="28" spans="1:15" ht="16" thickBot="1">
      <c r="A28" s="192"/>
      <c r="B28" s="195"/>
      <c r="C28" s="202" t="s">
        <v>216</v>
      </c>
      <c r="D28" s="198"/>
      <c r="E28" s="198">
        <v>0</v>
      </c>
      <c r="F28" s="196">
        <v>25.99</v>
      </c>
      <c r="G28" s="186">
        <v>28.589000000000002</v>
      </c>
      <c r="H28" s="161">
        <v>31.447900000000004</v>
      </c>
      <c r="I28" s="161">
        <v>34.592690000000005</v>
      </c>
      <c r="J28" s="161">
        <v>38.051959000000011</v>
      </c>
      <c r="L28" s="196">
        <v>30.225300000000004</v>
      </c>
      <c r="M28" s="301">
        <f t="shared" si="1"/>
        <v>1.0572353002903214</v>
      </c>
      <c r="N28" s="13">
        <v>5.72</v>
      </c>
      <c r="O28" s="316">
        <f t="shared" si="0"/>
        <v>1.9066666666666666E-2</v>
      </c>
    </row>
    <row r="29" spans="1:15" ht="16" thickBot="1">
      <c r="A29" s="192"/>
      <c r="B29" s="195"/>
      <c r="C29" s="200"/>
      <c r="D29" s="198"/>
      <c r="E29" s="198"/>
      <c r="F29" s="196"/>
      <c r="G29" s="196"/>
      <c r="H29" s="196"/>
      <c r="I29" s="196"/>
      <c r="J29" s="196"/>
      <c r="L29" s="186"/>
      <c r="M29" s="301" t="e">
        <f t="shared" si="1"/>
        <v>#DIV/0!</v>
      </c>
      <c r="O29" s="316">
        <f t="shared" si="0"/>
        <v>0</v>
      </c>
    </row>
    <row r="30" spans="1:15" ht="16" thickBot="1">
      <c r="A30" s="192"/>
      <c r="B30" s="195"/>
      <c r="C30" s="201" t="s">
        <v>219</v>
      </c>
      <c r="D30" s="198"/>
      <c r="E30" s="198"/>
      <c r="F30" s="196"/>
      <c r="G30" s="196"/>
      <c r="H30" s="196"/>
      <c r="I30" s="196"/>
      <c r="J30" s="196"/>
      <c r="L30" s="196"/>
      <c r="M30" s="301" t="e">
        <f t="shared" si="1"/>
        <v>#DIV/0!</v>
      </c>
      <c r="O30" s="316">
        <f t="shared" si="0"/>
        <v>0</v>
      </c>
    </row>
    <row r="31" spans="1:15" ht="16" thickBot="1">
      <c r="A31" s="192"/>
      <c r="B31" s="195"/>
      <c r="C31" s="200" t="s">
        <v>220</v>
      </c>
      <c r="D31" s="198"/>
      <c r="E31" s="198">
        <v>0</v>
      </c>
      <c r="F31" s="196">
        <v>4.24</v>
      </c>
      <c r="G31" s="186">
        <v>4.6640000000000006</v>
      </c>
      <c r="H31" s="161">
        <v>5.1304000000000007</v>
      </c>
      <c r="I31" s="161">
        <v>5.6434400000000009</v>
      </c>
      <c r="J31" s="161">
        <v>6.2077840000000011</v>
      </c>
      <c r="L31" s="186">
        <v>4.9284000000000008</v>
      </c>
      <c r="M31" s="301">
        <f t="shared" si="1"/>
        <v>1.0566895368782161</v>
      </c>
      <c r="N31" s="13">
        <v>5.67</v>
      </c>
      <c r="O31" s="316">
        <f t="shared" si="0"/>
        <v>1.89E-2</v>
      </c>
    </row>
    <row r="32" spans="1:15" ht="16" thickBot="1">
      <c r="A32" s="192"/>
      <c r="B32" s="195"/>
      <c r="C32" s="200" t="s">
        <v>214</v>
      </c>
      <c r="D32" s="198"/>
      <c r="E32" s="198">
        <v>0</v>
      </c>
      <c r="F32" s="196">
        <v>4.53</v>
      </c>
      <c r="G32" s="186">
        <v>4.9830000000000005</v>
      </c>
      <c r="H32" s="161">
        <v>5.4813000000000009</v>
      </c>
      <c r="I32" s="161">
        <v>6.0294300000000014</v>
      </c>
      <c r="J32" s="161">
        <v>6.6323730000000021</v>
      </c>
      <c r="L32" s="186">
        <v>5.261400000000001</v>
      </c>
      <c r="M32" s="301">
        <f t="shared" si="1"/>
        <v>1.055869957856713</v>
      </c>
      <c r="N32" s="13">
        <v>5.59</v>
      </c>
      <c r="O32" s="316">
        <f t="shared" si="0"/>
        <v>1.8633333333333332E-2</v>
      </c>
    </row>
    <row r="33" spans="1:15" ht="16" thickBot="1">
      <c r="A33" s="192"/>
      <c r="B33" s="195"/>
      <c r="C33" s="195"/>
      <c r="D33" s="198"/>
      <c r="E33" s="198"/>
      <c r="F33" s="196"/>
      <c r="G33" s="196"/>
      <c r="H33" s="196"/>
      <c r="I33" s="196"/>
      <c r="J33" s="196"/>
      <c r="L33" s="186"/>
      <c r="M33" s="301" t="e">
        <f>L32/G33</f>
        <v>#DIV/0!</v>
      </c>
      <c r="O33" s="316">
        <f t="shared" si="0"/>
        <v>0</v>
      </c>
    </row>
    <row r="34" spans="1:15" ht="16" thickBot="1">
      <c r="A34" s="192"/>
      <c r="B34" s="193" t="s">
        <v>221</v>
      </c>
      <c r="C34" s="194" t="s">
        <v>222</v>
      </c>
      <c r="D34" s="198"/>
      <c r="E34" s="198"/>
      <c r="F34" s="196"/>
      <c r="G34" s="196"/>
      <c r="H34" s="196"/>
      <c r="I34" s="196"/>
      <c r="J34" s="196"/>
      <c r="L34" s="186"/>
      <c r="M34" s="301" t="e">
        <f t="shared" ref="M34:M44" si="2">L34/G34</f>
        <v>#DIV/0!</v>
      </c>
      <c r="O34" s="316">
        <f t="shared" si="0"/>
        <v>0</v>
      </c>
    </row>
    <row r="35" spans="1:15" ht="16" thickBot="1">
      <c r="A35" s="192"/>
      <c r="B35" s="193"/>
      <c r="C35" s="195" t="s">
        <v>208</v>
      </c>
      <c r="D35" s="198"/>
      <c r="E35" s="198">
        <v>49.43</v>
      </c>
      <c r="F35" s="196">
        <v>70.209999999999994</v>
      </c>
      <c r="G35" s="186">
        <v>77.230999999999995</v>
      </c>
      <c r="H35" s="161">
        <v>84.954099999999997</v>
      </c>
      <c r="I35" s="161">
        <v>93.449510000000004</v>
      </c>
      <c r="J35" s="161">
        <v>102.79446100000001</v>
      </c>
      <c r="L35" s="196">
        <v>81.651600000000016</v>
      </c>
      <c r="M35" s="301">
        <f t="shared" si="2"/>
        <v>1.0572386735896211</v>
      </c>
      <c r="N35" s="13">
        <v>5.72</v>
      </c>
      <c r="O35" s="316">
        <f t="shared" si="0"/>
        <v>1.9066666666666666E-2</v>
      </c>
    </row>
    <row r="36" spans="1:15" ht="16" thickBot="1">
      <c r="A36" s="192"/>
      <c r="B36" s="193"/>
      <c r="C36" s="199"/>
      <c r="D36" s="195"/>
      <c r="E36" s="195"/>
      <c r="F36" s="196"/>
      <c r="G36" s="196"/>
      <c r="H36" s="196"/>
      <c r="I36" s="196"/>
      <c r="J36" s="196"/>
      <c r="L36" s="186"/>
      <c r="M36" s="301" t="e">
        <f t="shared" si="2"/>
        <v>#DIV/0!</v>
      </c>
      <c r="O36" s="316">
        <f t="shared" si="0"/>
        <v>0</v>
      </c>
    </row>
    <row r="37" spans="1:15" ht="16" thickBot="1">
      <c r="A37" s="192"/>
      <c r="B37" s="195"/>
      <c r="C37" s="200" t="s">
        <v>220</v>
      </c>
      <c r="D37" s="198"/>
      <c r="E37" s="198">
        <v>2.0299999999999998</v>
      </c>
      <c r="F37" s="196">
        <v>2.6</v>
      </c>
      <c r="G37" s="186">
        <v>2.8600000000000003</v>
      </c>
      <c r="H37" s="161">
        <v>3.1460000000000008</v>
      </c>
      <c r="I37" s="161">
        <v>3.4606000000000012</v>
      </c>
      <c r="J37" s="161">
        <v>3.8066600000000017</v>
      </c>
      <c r="L37" s="196">
        <v>3.0303000000000004</v>
      </c>
      <c r="M37" s="301">
        <f t="shared" si="2"/>
        <v>1.0595454545454546</v>
      </c>
      <c r="N37" s="13">
        <v>5.95</v>
      </c>
      <c r="O37" s="316">
        <f t="shared" si="0"/>
        <v>1.9833333333333335E-2</v>
      </c>
    </row>
    <row r="38" spans="1:15" ht="16" thickBot="1">
      <c r="A38" s="192"/>
      <c r="B38" s="195"/>
      <c r="C38" s="200" t="s">
        <v>223</v>
      </c>
      <c r="D38" s="198"/>
      <c r="E38" s="198">
        <v>2.0299999999999998</v>
      </c>
      <c r="F38" s="196">
        <v>3.24</v>
      </c>
      <c r="G38" s="186">
        <v>3.5640000000000005</v>
      </c>
      <c r="H38" s="161">
        <v>3.9204000000000008</v>
      </c>
      <c r="I38" s="161">
        <v>4.3124400000000014</v>
      </c>
      <c r="J38" s="161">
        <v>4.7436840000000018</v>
      </c>
      <c r="L38" s="186">
        <v>3.774</v>
      </c>
      <c r="M38" s="301">
        <f t="shared" si="2"/>
        <v>1.0589225589225588</v>
      </c>
      <c r="N38" s="13">
        <v>5.89</v>
      </c>
      <c r="O38" s="316">
        <f t="shared" si="0"/>
        <v>1.9633333333333332E-2</v>
      </c>
    </row>
    <row r="39" spans="1:15" ht="16" thickBot="1">
      <c r="A39" s="192"/>
      <c r="B39" s="195"/>
      <c r="C39" s="200" t="s">
        <v>214</v>
      </c>
      <c r="D39" s="198"/>
      <c r="E39" s="198">
        <v>2.0299999999999998</v>
      </c>
      <c r="F39" s="196">
        <v>4.0599999999999996</v>
      </c>
      <c r="G39" s="186">
        <v>4.4660000000000002</v>
      </c>
      <c r="H39" s="161">
        <v>4.9126000000000003</v>
      </c>
      <c r="I39" s="161">
        <v>5.4038600000000008</v>
      </c>
      <c r="J39" s="161">
        <v>5.9442460000000015</v>
      </c>
      <c r="L39" s="186">
        <v>4.7508000000000008</v>
      </c>
      <c r="M39" s="301">
        <f t="shared" si="2"/>
        <v>1.0637707120465743</v>
      </c>
      <c r="N39" s="13">
        <v>6.38</v>
      </c>
      <c r="O39" s="316">
        <f t="shared" si="0"/>
        <v>2.1266666666666666E-2</v>
      </c>
    </row>
    <row r="40" spans="1:15" ht="16" thickBot="1">
      <c r="A40" s="192"/>
      <c r="B40" s="195"/>
      <c r="C40" s="202" t="s">
        <v>224</v>
      </c>
      <c r="D40" s="203"/>
      <c r="E40" s="196">
        <v>1.71</v>
      </c>
      <c r="F40" s="196">
        <v>4.26</v>
      </c>
      <c r="G40" s="186">
        <v>4.6859999999999999</v>
      </c>
      <c r="H40" s="161">
        <v>5.1546000000000003</v>
      </c>
      <c r="I40" s="161">
        <v>5.6700600000000012</v>
      </c>
      <c r="J40" s="161">
        <v>6.2370660000000022</v>
      </c>
      <c r="L40" s="186">
        <v>4.7286000000000001</v>
      </c>
      <c r="M40" s="301">
        <f t="shared" si="2"/>
        <v>1.009090909090909</v>
      </c>
      <c r="N40" s="13">
        <v>0.91</v>
      </c>
      <c r="O40" s="316">
        <f t="shared" si="0"/>
        <v>3.0333333333333336E-3</v>
      </c>
    </row>
    <row r="41" spans="1:15" ht="16" thickBot="1">
      <c r="A41" s="192"/>
      <c r="B41" s="195"/>
      <c r="C41" s="199"/>
      <c r="D41" s="195"/>
      <c r="E41" s="195"/>
      <c r="F41" s="196"/>
      <c r="G41" s="196"/>
      <c r="H41" s="196"/>
      <c r="I41" s="196"/>
      <c r="J41" s="196"/>
      <c r="L41" s="186"/>
      <c r="M41" s="301" t="e">
        <f t="shared" si="2"/>
        <v>#DIV/0!</v>
      </c>
      <c r="O41" s="316">
        <f t="shared" si="0"/>
        <v>0</v>
      </c>
    </row>
    <row r="42" spans="1:15" ht="16" thickBot="1">
      <c r="A42" s="192"/>
      <c r="B42" s="193" t="s">
        <v>225</v>
      </c>
      <c r="C42" s="202" t="s">
        <v>226</v>
      </c>
      <c r="D42" s="198"/>
      <c r="E42" s="198">
        <v>29.61</v>
      </c>
      <c r="F42" s="196">
        <v>36.4</v>
      </c>
      <c r="G42" s="186">
        <v>40.04</v>
      </c>
      <c r="H42" s="161">
        <v>44.044000000000004</v>
      </c>
      <c r="I42" s="161">
        <v>48.448400000000007</v>
      </c>
      <c r="J42" s="161">
        <v>53.293240000000011</v>
      </c>
      <c r="L42" s="196">
        <v>40.404000000000003</v>
      </c>
      <c r="M42" s="301">
        <f t="shared" si="2"/>
        <v>1.0090909090909093</v>
      </c>
      <c r="N42" s="13">
        <v>0.91</v>
      </c>
      <c r="O42" s="316">
        <f t="shared" si="0"/>
        <v>3.0333333333333336E-3</v>
      </c>
    </row>
    <row r="43" spans="1:15" ht="16" thickBot="1">
      <c r="A43" s="192"/>
      <c r="B43" s="193"/>
      <c r="C43" s="202"/>
      <c r="D43" s="198"/>
      <c r="E43" s="198"/>
      <c r="F43" s="196"/>
      <c r="G43" s="196"/>
      <c r="H43" s="196"/>
      <c r="I43" s="196"/>
      <c r="J43" s="196"/>
      <c r="L43" s="186"/>
      <c r="M43" s="301" t="e">
        <f t="shared" si="2"/>
        <v>#DIV/0!</v>
      </c>
      <c r="O43" s="316">
        <f t="shared" si="0"/>
        <v>0</v>
      </c>
    </row>
    <row r="44" spans="1:15" ht="16" thickBot="1">
      <c r="A44" s="192"/>
      <c r="B44" s="193" t="s">
        <v>227</v>
      </c>
      <c r="C44" s="202" t="s">
        <v>228</v>
      </c>
      <c r="D44" s="204"/>
      <c r="E44" s="204">
        <v>200</v>
      </c>
      <c r="F44" s="205">
        <v>200</v>
      </c>
      <c r="G44" s="186">
        <v>220.00000000000003</v>
      </c>
      <c r="H44" s="161">
        <v>242.00000000000006</v>
      </c>
      <c r="I44" s="161">
        <v>266.2000000000001</v>
      </c>
      <c r="J44" s="161">
        <v>292.82000000000016</v>
      </c>
      <c r="L44" s="196">
        <v>222.00000000000003</v>
      </c>
      <c r="M44" s="301">
        <f t="shared" si="2"/>
        <v>1.009090909090909</v>
      </c>
      <c r="N44" s="13">
        <v>0.91</v>
      </c>
      <c r="O44" s="316">
        <f t="shared" si="0"/>
        <v>3.0333333333333336E-3</v>
      </c>
    </row>
    <row r="45" spans="1:15" ht="16" thickBot="1">
      <c r="A45" s="192"/>
      <c r="B45" s="195"/>
      <c r="C45" s="195"/>
      <c r="D45" s="195"/>
      <c r="E45" s="195"/>
      <c r="F45" s="196"/>
      <c r="G45" s="196"/>
      <c r="H45" s="196"/>
      <c r="I45" s="196"/>
      <c r="J45" s="196"/>
      <c r="L45" s="186"/>
    </row>
    <row r="46" spans="1:15" ht="16" thickBot="1">
      <c r="A46" s="62"/>
      <c r="B46" s="61" t="s">
        <v>29</v>
      </c>
      <c r="I46" s="13"/>
      <c r="J46" s="13"/>
      <c r="L46" s="196"/>
    </row>
    <row r="47" spans="1:15" ht="16" thickBot="1">
      <c r="A47" s="192"/>
      <c r="B47" s="206"/>
      <c r="C47" s="206"/>
      <c r="D47" s="206"/>
      <c r="E47" s="206"/>
      <c r="F47" s="207"/>
      <c r="G47" s="207"/>
      <c r="H47" s="207"/>
      <c r="I47" s="207"/>
      <c r="J47" s="207"/>
    </row>
    <row r="48" spans="1:15" ht="31" thickBot="1">
      <c r="A48" s="3"/>
      <c r="B48" s="9"/>
      <c r="C48" s="10"/>
      <c r="D48" s="11"/>
      <c r="E48" s="12" t="s">
        <v>3</v>
      </c>
      <c r="F48" s="12" t="s">
        <v>4</v>
      </c>
      <c r="G48" s="12" t="s">
        <v>5</v>
      </c>
      <c r="H48" s="12" t="s">
        <v>32</v>
      </c>
      <c r="I48" s="12" t="s">
        <v>7</v>
      </c>
      <c r="J48" s="12" t="s">
        <v>8</v>
      </c>
    </row>
    <row r="49" spans="1:15" ht="16.5" customHeight="1" thickBot="1">
      <c r="A49" s="3"/>
      <c r="B49" s="970" t="s">
        <v>202</v>
      </c>
      <c r="C49" s="971"/>
      <c r="D49" s="972"/>
      <c r="E49" s="973" t="s">
        <v>229</v>
      </c>
      <c r="F49" s="974"/>
      <c r="G49" s="974"/>
      <c r="H49" s="974"/>
      <c r="I49" s="974"/>
      <c r="J49" s="974"/>
    </row>
    <row r="50" spans="1:15" s="149" customFormat="1" ht="15" thickBot="1">
      <c r="C50" s="150"/>
      <c r="D50" s="151"/>
      <c r="E50" s="152"/>
      <c r="F50" s="152"/>
      <c r="G50" s="152"/>
      <c r="H50" s="151"/>
      <c r="I50" s="151"/>
      <c r="J50" s="151"/>
      <c r="L50" s="13"/>
    </row>
    <row r="51" spans="1:15" s="149" customFormat="1" ht="31" thickBot="1">
      <c r="A51" s="153"/>
      <c r="B51" s="9" t="s">
        <v>31</v>
      </c>
      <c r="C51" s="10"/>
      <c r="D51" s="11"/>
      <c r="E51" s="64" t="s">
        <v>3</v>
      </c>
      <c r="F51" s="64" t="s">
        <v>4</v>
      </c>
      <c r="G51" s="64" t="s">
        <v>5</v>
      </c>
      <c r="H51" s="64" t="s">
        <v>32</v>
      </c>
      <c r="I51" s="64" t="s">
        <v>7</v>
      </c>
      <c r="J51" s="64" t="s">
        <v>8</v>
      </c>
      <c r="L51" s="13" t="s">
        <v>5</v>
      </c>
    </row>
    <row r="52" spans="1:15" ht="16" thickBot="1">
      <c r="A52" s="192"/>
      <c r="B52" s="193"/>
      <c r="C52" s="195"/>
      <c r="D52" s="195"/>
      <c r="E52" s="195"/>
      <c r="F52" s="196"/>
      <c r="G52" s="196"/>
      <c r="H52" s="196"/>
      <c r="I52" s="196"/>
      <c r="J52" s="196"/>
      <c r="L52" s="149"/>
    </row>
    <row r="53" spans="1:15" ht="16" thickBot="1">
      <c r="A53" s="192"/>
      <c r="B53" s="193" t="s">
        <v>205</v>
      </c>
      <c r="C53" s="195" t="s">
        <v>230</v>
      </c>
      <c r="D53" s="198"/>
      <c r="E53" s="198">
        <v>27.63</v>
      </c>
      <c r="F53" s="196">
        <v>29.370689999999996</v>
      </c>
      <c r="G53" s="186">
        <v>32.307758999999997</v>
      </c>
      <c r="H53" s="161">
        <v>35.538534900000002</v>
      </c>
      <c r="I53" s="161">
        <v>39.092388390000004</v>
      </c>
      <c r="J53" s="161">
        <v>43.001627229000007</v>
      </c>
      <c r="L53" s="149">
        <v>35.520000000000003</v>
      </c>
      <c r="M53" s="301">
        <f>L53/G53</f>
        <v>1.0994263018985626</v>
      </c>
      <c r="N53" s="13">
        <v>9.94</v>
      </c>
      <c r="O53" s="316">
        <f>N53/3/100</f>
        <v>3.3133333333333327E-2</v>
      </c>
    </row>
    <row r="54" spans="1:15" ht="16" thickBot="1">
      <c r="A54" s="192"/>
      <c r="B54" s="195"/>
      <c r="C54" s="202"/>
      <c r="D54" s="198"/>
      <c r="E54" s="198"/>
      <c r="F54" s="196"/>
      <c r="G54" s="196"/>
      <c r="H54" s="196"/>
      <c r="I54" s="196"/>
      <c r="J54" s="196"/>
      <c r="M54" s="301" t="e">
        <f t="shared" ref="M54:M66" si="3">L54/G54</f>
        <v>#DIV/0!</v>
      </c>
    </row>
    <row r="55" spans="1:15" ht="16" thickBot="1">
      <c r="A55" s="192"/>
      <c r="B55" s="195"/>
      <c r="C55" s="202"/>
      <c r="D55" s="198"/>
      <c r="E55" s="198"/>
      <c r="F55" s="196"/>
      <c r="G55" s="196"/>
      <c r="H55" s="196"/>
      <c r="I55" s="196"/>
      <c r="J55" s="196"/>
      <c r="M55" s="301" t="e">
        <f t="shared" si="3"/>
        <v>#DIV/0!</v>
      </c>
    </row>
    <row r="56" spans="1:15" ht="16" thickBot="1">
      <c r="A56" s="192"/>
      <c r="B56" s="195"/>
      <c r="C56" s="195" t="s">
        <v>231</v>
      </c>
      <c r="D56" s="198"/>
      <c r="E56" s="198">
        <v>53.98</v>
      </c>
      <c r="F56" s="196">
        <v>57.380739999999996</v>
      </c>
      <c r="G56" s="186">
        <v>63.118814</v>
      </c>
      <c r="H56" s="161">
        <v>69.430695400000005</v>
      </c>
      <c r="I56" s="161">
        <v>76.373764940000015</v>
      </c>
      <c r="J56" s="161">
        <v>84.011141434000024</v>
      </c>
      <c r="L56" s="13">
        <v>66.600000000000009</v>
      </c>
      <c r="M56" s="301">
        <f t="shared" si="3"/>
        <v>1.0551529057564359</v>
      </c>
      <c r="N56" s="13">
        <v>5.52</v>
      </c>
      <c r="O56" s="316">
        <f>N56/3/100</f>
        <v>1.84E-2</v>
      </c>
    </row>
    <row r="57" spans="1:15" ht="16" thickBot="1">
      <c r="A57" s="192"/>
      <c r="B57" s="195"/>
      <c r="C57" s="202"/>
      <c r="D57" s="198"/>
      <c r="E57" s="198"/>
      <c r="F57" s="196"/>
      <c r="G57" s="196"/>
      <c r="H57" s="196"/>
      <c r="I57" s="196"/>
      <c r="J57" s="196"/>
      <c r="M57" s="301" t="e">
        <f t="shared" si="3"/>
        <v>#DIV/0!</v>
      </c>
    </row>
    <row r="58" spans="1:15" ht="16" thickBot="1">
      <c r="A58" s="192"/>
      <c r="B58" s="195"/>
      <c r="C58" s="202"/>
      <c r="D58" s="198"/>
      <c r="E58" s="198"/>
      <c r="F58" s="196"/>
      <c r="G58" s="196"/>
      <c r="H58" s="196"/>
      <c r="I58" s="196"/>
      <c r="J58" s="196"/>
      <c r="M58" s="301" t="e">
        <f t="shared" si="3"/>
        <v>#DIV/0!</v>
      </c>
    </row>
    <row r="59" spans="1:15" ht="16" thickBot="1">
      <c r="A59" s="192"/>
      <c r="B59" s="193" t="s">
        <v>221</v>
      </c>
      <c r="C59" s="194" t="s">
        <v>232</v>
      </c>
      <c r="D59" s="198"/>
      <c r="E59" s="198"/>
      <c r="F59" s="196"/>
      <c r="G59" s="196"/>
      <c r="H59" s="196"/>
      <c r="I59" s="196"/>
      <c r="J59" s="196"/>
      <c r="M59" s="301" t="e">
        <f t="shared" si="3"/>
        <v>#DIV/0!</v>
      </c>
    </row>
    <row r="60" spans="1:15" ht="16" thickBot="1">
      <c r="A60" s="192"/>
      <c r="B60" s="195"/>
      <c r="C60" s="202" t="s">
        <v>15</v>
      </c>
      <c r="D60" s="198"/>
      <c r="E60" s="198"/>
      <c r="F60" s="196"/>
      <c r="G60" s="196"/>
      <c r="H60" s="196"/>
      <c r="I60" s="196"/>
      <c r="J60" s="196"/>
      <c r="M60" s="301" t="e">
        <f t="shared" si="3"/>
        <v>#DIV/0!</v>
      </c>
    </row>
    <row r="61" spans="1:15" ht="16" thickBot="1">
      <c r="A61" s="192"/>
      <c r="B61" s="195"/>
      <c r="C61" s="200" t="s">
        <v>233</v>
      </c>
      <c r="D61" s="198"/>
      <c r="E61" s="198">
        <v>4.45</v>
      </c>
      <c r="F61" s="196">
        <v>4.7303499999999996</v>
      </c>
      <c r="G61" s="186">
        <v>5.2033849999999999</v>
      </c>
      <c r="H61" s="161">
        <v>5.7237235000000002</v>
      </c>
      <c r="I61" s="161">
        <v>6.2960958500000004</v>
      </c>
      <c r="J61" s="161">
        <v>6.9257054350000011</v>
      </c>
      <c r="L61" s="13">
        <v>5.5500000000000007</v>
      </c>
      <c r="M61" s="301">
        <f t="shared" si="3"/>
        <v>1.0666133680286969</v>
      </c>
      <c r="N61" s="13">
        <v>6.66</v>
      </c>
      <c r="O61" s="316">
        <f t="shared" ref="O61:O66" si="4">N61/3/100</f>
        <v>2.2200000000000001E-2</v>
      </c>
    </row>
    <row r="62" spans="1:15" ht="16" thickBot="1">
      <c r="A62" s="192"/>
      <c r="B62" s="195"/>
      <c r="C62" s="200" t="s">
        <v>234</v>
      </c>
      <c r="D62" s="198"/>
      <c r="E62" s="198">
        <v>4.45</v>
      </c>
      <c r="F62" s="196">
        <v>4.7303499999999996</v>
      </c>
      <c r="G62" s="186">
        <v>5.2033849999999999</v>
      </c>
      <c r="H62" s="161">
        <v>5.7237235000000002</v>
      </c>
      <c r="I62" s="161">
        <v>6.2960958500000004</v>
      </c>
      <c r="J62" s="161">
        <v>6.9257054350000011</v>
      </c>
      <c r="L62" s="13">
        <v>5.5500000000000007</v>
      </c>
      <c r="M62" s="301">
        <f t="shared" si="3"/>
        <v>1.0666133680286969</v>
      </c>
      <c r="N62" s="13">
        <v>6.66</v>
      </c>
      <c r="O62" s="316">
        <f t="shared" si="4"/>
        <v>2.2200000000000001E-2</v>
      </c>
    </row>
    <row r="63" spans="1:15" ht="16" thickBot="1">
      <c r="A63" s="192"/>
      <c r="B63" s="195"/>
      <c r="C63" s="200"/>
      <c r="D63" s="198"/>
      <c r="E63" s="198"/>
      <c r="F63" s="196"/>
      <c r="G63" s="196"/>
      <c r="H63" s="196"/>
      <c r="I63" s="196"/>
      <c r="J63" s="196"/>
      <c r="M63" s="301" t="e">
        <f t="shared" si="3"/>
        <v>#DIV/0!</v>
      </c>
      <c r="O63" s="316">
        <f t="shared" si="4"/>
        <v>0</v>
      </c>
    </row>
    <row r="64" spans="1:15" ht="16" thickBot="1">
      <c r="A64" s="192"/>
      <c r="B64" s="195"/>
      <c r="C64" s="202" t="s">
        <v>235</v>
      </c>
      <c r="D64" s="198"/>
      <c r="E64" s="198">
        <v>17.760000000000002</v>
      </c>
      <c r="F64" s="196">
        <v>18.878880000000002</v>
      </c>
      <c r="G64" s="186">
        <v>20.766768000000003</v>
      </c>
      <c r="H64" s="161">
        <v>22.843444800000004</v>
      </c>
      <c r="I64" s="161">
        <v>25.127789280000005</v>
      </c>
      <c r="J64" s="161">
        <v>27.640568208000008</v>
      </c>
      <c r="L64" s="13">
        <v>22.144500000000001</v>
      </c>
      <c r="M64" s="301">
        <f t="shared" si="3"/>
        <v>1.0663431112631487</v>
      </c>
      <c r="N64" s="13">
        <v>6.63</v>
      </c>
      <c r="O64" s="316">
        <f t="shared" si="4"/>
        <v>2.2099999999999998E-2</v>
      </c>
    </row>
    <row r="65" spans="1:15" ht="16" thickBot="1">
      <c r="A65" s="192"/>
      <c r="B65" s="195"/>
      <c r="C65" s="200"/>
      <c r="D65" s="198"/>
      <c r="E65" s="198"/>
      <c r="F65" s="196"/>
      <c r="G65" s="196"/>
      <c r="H65" s="196"/>
      <c r="I65" s="196"/>
      <c r="J65" s="196"/>
      <c r="M65" s="301" t="e">
        <f t="shared" si="3"/>
        <v>#DIV/0!</v>
      </c>
      <c r="O65" s="316">
        <f t="shared" si="4"/>
        <v>0</v>
      </c>
    </row>
    <row r="66" spans="1:15" ht="16" thickBot="1">
      <c r="A66" s="192"/>
      <c r="B66" s="195"/>
      <c r="C66" s="202" t="s">
        <v>224</v>
      </c>
      <c r="D66" s="198"/>
      <c r="E66" s="198">
        <v>4.1900000000000004</v>
      </c>
      <c r="F66" s="196">
        <v>4.45397</v>
      </c>
      <c r="G66" s="186">
        <v>4.8993670000000007</v>
      </c>
      <c r="H66" s="161">
        <v>5.389303700000001</v>
      </c>
      <c r="I66" s="161">
        <v>5.928234070000002</v>
      </c>
      <c r="J66" s="161">
        <v>6.5210574770000029</v>
      </c>
      <c r="L66" s="13">
        <v>5.2170000000000005</v>
      </c>
      <c r="M66" s="301">
        <f t="shared" si="3"/>
        <v>1.0648314363875986</v>
      </c>
      <c r="N66" s="13">
        <v>6.48</v>
      </c>
      <c r="O66" s="316">
        <f t="shared" si="4"/>
        <v>2.1600000000000001E-2</v>
      </c>
    </row>
    <row r="67" spans="1:15" ht="16" thickBot="1">
      <c r="A67" s="192"/>
      <c r="B67" s="195"/>
      <c r="C67" s="202"/>
      <c r="D67" s="198"/>
      <c r="E67" s="198"/>
      <c r="F67" s="196"/>
      <c r="G67" s="208"/>
      <c r="H67" s="196"/>
      <c r="I67" s="208"/>
      <c r="J67" s="208"/>
    </row>
    <row r="68" spans="1:15" ht="16" thickBot="1">
      <c r="A68" s="192"/>
      <c r="B68" s="193" t="s">
        <v>225</v>
      </c>
      <c r="C68" s="209" t="s">
        <v>236</v>
      </c>
      <c r="D68" s="198"/>
      <c r="E68" s="198"/>
      <c r="F68" s="196"/>
      <c r="G68" s="196"/>
      <c r="H68" s="196"/>
      <c r="I68" s="196"/>
      <c r="J68" s="196"/>
    </row>
    <row r="69" spans="1:15" ht="15" thickBot="1">
      <c r="A69" s="192"/>
      <c r="B69" s="195"/>
      <c r="C69" s="195"/>
      <c r="D69" s="198"/>
      <c r="E69" s="198"/>
      <c r="F69" s="198"/>
      <c r="G69" s="198"/>
      <c r="H69" s="198"/>
      <c r="I69" s="198"/>
      <c r="J69" s="198"/>
    </row>
    <row r="70" spans="1:15" ht="15" thickBot="1">
      <c r="A70" s="192"/>
      <c r="B70" s="193" t="s">
        <v>237</v>
      </c>
      <c r="C70" s="209" t="s">
        <v>238</v>
      </c>
      <c r="D70" s="198"/>
      <c r="E70" s="198"/>
      <c r="F70" s="198"/>
      <c r="G70" s="198"/>
      <c r="H70" s="198"/>
      <c r="I70" s="198"/>
      <c r="J70" s="198"/>
    </row>
    <row r="71" spans="1:15" ht="15" thickBot="1">
      <c r="A71" s="192"/>
      <c r="B71" s="195"/>
      <c r="C71" s="195" t="s">
        <v>239</v>
      </c>
      <c r="D71" s="198"/>
      <c r="E71" s="198"/>
      <c r="F71" s="198"/>
      <c r="G71" s="198"/>
      <c r="H71" s="198"/>
      <c r="I71" s="198"/>
      <c r="J71" s="198"/>
    </row>
    <row r="72" spans="1:15" ht="15" thickBot="1">
      <c r="A72" s="192"/>
      <c r="B72" s="195"/>
      <c r="C72" s="195"/>
      <c r="D72" s="198"/>
      <c r="E72" s="198"/>
      <c r="F72" s="198"/>
      <c r="G72" s="198"/>
      <c r="H72" s="198"/>
      <c r="I72" s="198"/>
      <c r="J72" s="198"/>
    </row>
    <row r="73" spans="1:15" ht="15" thickBot="1">
      <c r="A73" s="192"/>
      <c r="B73" s="193" t="s">
        <v>240</v>
      </c>
      <c r="C73" s="209" t="s">
        <v>241</v>
      </c>
      <c r="D73" s="198"/>
      <c r="E73" s="198"/>
      <c r="F73" s="195"/>
      <c r="G73" s="195"/>
      <c r="H73" s="195"/>
      <c r="I73" s="195"/>
      <c r="J73" s="195"/>
    </row>
    <row r="74" spans="1:15" ht="15" thickBot="1">
      <c r="A74" s="192"/>
      <c r="B74" s="195"/>
      <c r="C74" s="195" t="s">
        <v>242</v>
      </c>
      <c r="D74" s="198"/>
      <c r="E74" s="198"/>
      <c r="F74" s="195"/>
      <c r="G74" s="195"/>
      <c r="H74" s="195"/>
      <c r="I74" s="195"/>
      <c r="J74" s="195"/>
    </row>
    <row r="75" spans="1:15" ht="15" thickBot="1">
      <c r="A75" s="192"/>
      <c r="B75" s="195"/>
      <c r="C75" s="195"/>
      <c r="D75" s="198"/>
      <c r="E75" s="198"/>
      <c r="F75" s="195"/>
      <c r="G75" s="195"/>
      <c r="H75" s="195"/>
      <c r="I75" s="195"/>
      <c r="J75" s="195"/>
    </row>
    <row r="76" spans="1:15">
      <c r="A76" s="62"/>
      <c r="B76" s="61" t="s">
        <v>29</v>
      </c>
      <c r="I76" s="13"/>
      <c r="J76" s="13"/>
    </row>
    <row r="77" spans="1:15" ht="15" thickBot="1">
      <c r="A77" s="62"/>
      <c r="I77" s="13"/>
      <c r="J77" s="13"/>
    </row>
    <row r="78" spans="1:15" ht="31" thickBot="1">
      <c r="A78" s="3"/>
      <c r="B78" s="9"/>
      <c r="C78" s="10"/>
      <c r="D78" s="11"/>
      <c r="E78" s="12" t="s">
        <v>3</v>
      </c>
      <c r="F78" s="12" t="s">
        <v>4</v>
      </c>
      <c r="G78" s="12" t="s">
        <v>5</v>
      </c>
      <c r="H78" s="12" t="s">
        <v>32</v>
      </c>
      <c r="I78" s="12" t="s">
        <v>7</v>
      </c>
      <c r="J78" s="12" t="s">
        <v>8</v>
      </c>
    </row>
    <row r="79" spans="1:15" s="283" customFormat="1" ht="17" thickBot="1">
      <c r="A79" s="282"/>
      <c r="B79" s="995" t="s">
        <v>30</v>
      </c>
      <c r="C79" s="996"/>
      <c r="D79" s="997"/>
      <c r="E79" s="1025" t="s">
        <v>30</v>
      </c>
      <c r="F79" s="1026"/>
      <c r="G79" s="1026"/>
      <c r="H79" s="1026"/>
      <c r="I79" s="1026"/>
      <c r="J79" s="1026"/>
      <c r="L79" s="13"/>
    </row>
    <row r="80" spans="1:15" s="149" customFormat="1" ht="15" thickBot="1">
      <c r="C80" s="150"/>
      <c r="D80" s="151"/>
      <c r="E80" s="152"/>
      <c r="F80" s="152"/>
      <c r="G80" s="152"/>
      <c r="H80" s="151"/>
      <c r="I80" s="151"/>
      <c r="J80" s="151"/>
      <c r="L80" s="13"/>
    </row>
    <row r="81" spans="1:12" s="149" customFormat="1" ht="31" thickBot="1">
      <c r="A81" s="153"/>
      <c r="B81" s="9" t="s">
        <v>204</v>
      </c>
      <c r="C81" s="10"/>
      <c r="D81" s="11"/>
      <c r="E81" s="64" t="s">
        <v>3</v>
      </c>
      <c r="F81" s="64" t="s">
        <v>4</v>
      </c>
      <c r="G81" s="64" t="s">
        <v>5</v>
      </c>
      <c r="H81" s="64" t="s">
        <v>32</v>
      </c>
      <c r="I81" s="64" t="s">
        <v>7</v>
      </c>
      <c r="J81" s="64" t="s">
        <v>8</v>
      </c>
      <c r="L81" s="284"/>
    </row>
    <row r="82" spans="1:12" ht="16" thickBot="1">
      <c r="A82" s="192"/>
      <c r="B82" s="193" t="s">
        <v>205</v>
      </c>
      <c r="C82" s="194" t="s">
        <v>206</v>
      </c>
      <c r="D82" s="195"/>
      <c r="E82" s="195"/>
      <c r="F82" s="196"/>
      <c r="G82" s="195"/>
      <c r="H82" s="196"/>
      <c r="I82" s="195"/>
      <c r="J82" s="195"/>
      <c r="L82" s="149"/>
    </row>
    <row r="83" spans="1:12" ht="16" thickBot="1">
      <c r="A83" s="192"/>
      <c r="B83" s="193"/>
      <c r="C83" s="195"/>
      <c r="D83" s="195"/>
      <c r="E83" s="195"/>
      <c r="F83" s="196"/>
      <c r="G83" s="195"/>
      <c r="H83" s="196"/>
      <c r="I83" s="195"/>
      <c r="J83" s="195"/>
      <c r="L83" s="149"/>
    </row>
    <row r="84" spans="1:12" ht="16" thickBot="1">
      <c r="A84" s="192"/>
      <c r="B84" s="193"/>
      <c r="C84" s="197" t="s">
        <v>207</v>
      </c>
      <c r="D84" s="195"/>
      <c r="E84" s="195"/>
      <c r="F84" s="196"/>
      <c r="G84" s="195"/>
      <c r="H84" s="196"/>
      <c r="I84" s="195"/>
      <c r="J84" s="195"/>
    </row>
    <row r="85" spans="1:12" ht="16" thickBot="1">
      <c r="A85" s="192"/>
      <c r="B85" s="302"/>
      <c r="C85" s="302" t="s">
        <v>243</v>
      </c>
      <c r="D85" s="303"/>
      <c r="E85" s="303"/>
      <c r="F85" s="304">
        <v>56.1</v>
      </c>
      <c r="G85" s="305">
        <v>62.271000000000008</v>
      </c>
      <c r="H85" s="306">
        <v>68.498100000000008</v>
      </c>
      <c r="I85" s="306">
        <v>75.347910000000013</v>
      </c>
      <c r="J85" s="306">
        <v>82.882701000000026</v>
      </c>
      <c r="K85" s="307"/>
    </row>
    <row r="86" spans="1:12" ht="16" thickBot="1">
      <c r="A86" s="192"/>
      <c r="B86" s="302" t="s">
        <v>116</v>
      </c>
      <c r="C86" s="302" t="s">
        <v>117</v>
      </c>
      <c r="D86" s="302"/>
      <c r="E86" s="302"/>
      <c r="F86" s="304">
        <f>+F85/2</f>
        <v>28.05</v>
      </c>
      <c r="G86" s="305">
        <f>+G85/2</f>
        <v>31.135500000000004</v>
      </c>
      <c r="H86" s="306">
        <f>+H85/2</f>
        <v>34.249050000000004</v>
      </c>
      <c r="I86" s="306">
        <f>+I85/2</f>
        <v>37.673955000000007</v>
      </c>
      <c r="J86" s="306">
        <f>+J85/2</f>
        <v>41.441350500000013</v>
      </c>
      <c r="K86" s="307"/>
    </row>
    <row r="87" spans="1:12" ht="16" thickBot="1">
      <c r="A87" s="192"/>
      <c r="B87" s="195"/>
      <c r="C87" s="195" t="s">
        <v>209</v>
      </c>
      <c r="D87" s="198"/>
      <c r="E87" s="198"/>
      <c r="F87" s="196"/>
      <c r="G87" s="196"/>
      <c r="H87" s="196"/>
      <c r="I87" s="196"/>
      <c r="J87" s="196"/>
      <c r="L87" s="307" t="s">
        <v>425</v>
      </c>
    </row>
    <row r="88" spans="1:12" ht="15" thickBot="1">
      <c r="A88" s="192"/>
      <c r="B88" s="195"/>
      <c r="C88" s="200" t="s">
        <v>210</v>
      </c>
      <c r="D88" s="198"/>
      <c r="E88" s="198"/>
      <c r="F88" s="198" t="s">
        <v>14</v>
      </c>
      <c r="G88" s="198" t="s">
        <v>14</v>
      </c>
      <c r="H88" s="198" t="s">
        <v>14</v>
      </c>
      <c r="I88" s="198" t="s">
        <v>14</v>
      </c>
      <c r="J88" s="198" t="s">
        <v>14</v>
      </c>
      <c r="L88" s="307"/>
    </row>
    <row r="89" spans="1:12" ht="15" thickBot="1">
      <c r="A89" s="192"/>
      <c r="B89" s="195"/>
      <c r="C89" s="200" t="s">
        <v>211</v>
      </c>
      <c r="D89" s="198"/>
      <c r="E89" s="198"/>
      <c r="F89" s="198" t="s">
        <v>14</v>
      </c>
      <c r="G89" s="186">
        <v>2.63</v>
      </c>
      <c r="H89" s="186">
        <f>G89*10%+G89</f>
        <v>2.8929999999999998</v>
      </c>
      <c r="I89" s="161">
        <f>H89*10%+H89</f>
        <v>3.1822999999999997</v>
      </c>
      <c r="J89" s="161">
        <f>H89*10%+H89</f>
        <v>3.1822999999999997</v>
      </c>
    </row>
    <row r="90" spans="1:12" ht="16" thickBot="1">
      <c r="A90" s="192"/>
      <c r="B90" s="195"/>
      <c r="C90" s="200" t="s">
        <v>212</v>
      </c>
      <c r="D90" s="198"/>
      <c r="E90" s="198"/>
      <c r="F90" s="196">
        <v>3.05</v>
      </c>
      <c r="G90" s="186">
        <f>+F90*1.11</f>
        <v>3.3855</v>
      </c>
      <c r="H90" s="186">
        <f>+G90+1.1</f>
        <v>4.4855</v>
      </c>
      <c r="I90" s="161">
        <f>+G90*1.1</f>
        <v>3.7240500000000001</v>
      </c>
      <c r="J90" s="161">
        <f>(+G90*1.1)*1.1</f>
        <v>4.0964550000000006</v>
      </c>
    </row>
    <row r="91" spans="1:12" ht="16" thickBot="1">
      <c r="A91" s="192"/>
      <c r="B91" s="195"/>
      <c r="C91" s="200" t="s">
        <v>213</v>
      </c>
      <c r="D91" s="198"/>
      <c r="E91" s="198"/>
      <c r="F91" s="196">
        <v>3.51</v>
      </c>
      <c r="G91" s="186">
        <f>+F91*1.11</f>
        <v>3.8961000000000001</v>
      </c>
      <c r="H91" s="186">
        <f>+G91+1.1</f>
        <v>4.9961000000000002</v>
      </c>
      <c r="I91" s="161">
        <f>+G91*1.1</f>
        <v>4.2857100000000008</v>
      </c>
      <c r="J91" s="161">
        <f>(+G91*1.1)*1.1</f>
        <v>4.7142810000000015</v>
      </c>
    </row>
    <row r="92" spans="1:12" ht="16" thickBot="1">
      <c r="A92" s="192"/>
      <c r="B92" s="195"/>
      <c r="C92" s="200" t="s">
        <v>214</v>
      </c>
      <c r="D92" s="198"/>
      <c r="E92" s="198"/>
      <c r="F92" s="196">
        <v>3.99</v>
      </c>
      <c r="G92" s="186">
        <f>+F92*1.11</f>
        <v>4.4289000000000005</v>
      </c>
      <c r="H92" s="186">
        <f>+G92+1.1</f>
        <v>5.5289000000000001</v>
      </c>
      <c r="I92" s="161">
        <f>+G92*1.1</f>
        <v>4.8717900000000007</v>
      </c>
      <c r="J92" s="161">
        <f>(+G92*1.1)*1.1</f>
        <v>5.358969000000001</v>
      </c>
    </row>
    <row r="93" spans="1:12" ht="16" thickBot="1">
      <c r="A93" s="192"/>
      <c r="B93" s="195"/>
      <c r="C93" s="200"/>
      <c r="D93" s="198"/>
      <c r="E93" s="198"/>
      <c r="F93" s="196"/>
      <c r="G93" s="196"/>
      <c r="H93" s="196"/>
      <c r="I93" s="196"/>
      <c r="J93" s="196"/>
    </row>
    <row r="94" spans="1:12" ht="16" thickBot="1">
      <c r="A94" s="192"/>
      <c r="B94" s="195"/>
      <c r="C94" s="201" t="s">
        <v>215</v>
      </c>
      <c r="D94" s="198"/>
      <c r="E94" s="198"/>
      <c r="F94" s="196"/>
      <c r="G94" s="196"/>
      <c r="H94" s="196"/>
      <c r="I94" s="196"/>
      <c r="J94" s="196"/>
    </row>
    <row r="95" spans="1:12" ht="16" thickBot="1">
      <c r="A95" s="192"/>
      <c r="B95" s="195"/>
      <c r="C95" s="202" t="s">
        <v>216</v>
      </c>
      <c r="D95" s="198"/>
      <c r="E95" s="198"/>
      <c r="F95" s="196">
        <v>49.79</v>
      </c>
      <c r="G95" s="186">
        <f>+F95*1.11</f>
        <v>55.266900000000007</v>
      </c>
      <c r="H95" s="186">
        <f>+G95+1.1</f>
        <v>56.366900000000008</v>
      </c>
      <c r="I95" s="161">
        <f>+G95*1.1</f>
        <v>60.793590000000009</v>
      </c>
      <c r="J95" s="161">
        <f>(+G95*1.1)*1.1</f>
        <v>66.87294900000002</v>
      </c>
    </row>
    <row r="96" spans="1:12" ht="16" thickBot="1">
      <c r="A96" s="192"/>
      <c r="B96" s="195"/>
      <c r="C96" s="200"/>
      <c r="D96" s="198"/>
      <c r="E96" s="198"/>
      <c r="F96" s="196"/>
      <c r="G96" s="196"/>
      <c r="H96" s="196"/>
      <c r="I96" s="196"/>
      <c r="J96" s="196"/>
    </row>
    <row r="97" spans="1:10" ht="16" thickBot="1">
      <c r="A97" s="192"/>
      <c r="B97" s="195"/>
      <c r="C97" s="201" t="s">
        <v>217</v>
      </c>
      <c r="D97" s="198"/>
      <c r="E97" s="198"/>
      <c r="F97" s="196"/>
      <c r="G97" s="196"/>
      <c r="H97" s="196"/>
      <c r="I97" s="196"/>
      <c r="J97" s="196"/>
    </row>
    <row r="98" spans="1:10" ht="16" thickBot="1">
      <c r="A98" s="192"/>
      <c r="B98" s="195"/>
      <c r="C98" s="195" t="s">
        <v>208</v>
      </c>
      <c r="D98" s="198"/>
      <c r="E98" s="198"/>
      <c r="F98" s="196">
        <v>0</v>
      </c>
      <c r="G98" s="196">
        <v>0</v>
      </c>
      <c r="H98" s="196">
        <v>0</v>
      </c>
      <c r="I98" s="196">
        <v>0</v>
      </c>
      <c r="J98" s="196">
        <v>0</v>
      </c>
    </row>
    <row r="99" spans="1:10" ht="16" thickBot="1">
      <c r="A99" s="192"/>
      <c r="B99" s="195"/>
      <c r="C99" s="195" t="s">
        <v>209</v>
      </c>
      <c r="D99" s="198"/>
      <c r="E99" s="198"/>
      <c r="F99" s="196">
        <v>4.47</v>
      </c>
      <c r="G99" s="186">
        <f>+F99*1.11</f>
        <v>4.9617000000000004</v>
      </c>
      <c r="H99" s="186">
        <f>+G99+1.1</f>
        <v>6.0617000000000001</v>
      </c>
      <c r="I99" s="161">
        <f>+G99*1.1</f>
        <v>5.4578700000000007</v>
      </c>
      <c r="J99" s="161">
        <f>(+G99*1.1)*1.1</f>
        <v>6.0036570000000014</v>
      </c>
    </row>
    <row r="100" spans="1:10" ht="16" thickBot="1">
      <c r="A100" s="192"/>
      <c r="B100" s="195"/>
      <c r="C100" s="200"/>
      <c r="D100" s="198"/>
      <c r="E100" s="198"/>
      <c r="F100" s="196"/>
      <c r="G100" s="196"/>
      <c r="H100" s="196"/>
      <c r="I100" s="196"/>
      <c r="J100" s="196"/>
    </row>
    <row r="101" spans="1:10" ht="16" thickBot="1">
      <c r="A101" s="192"/>
      <c r="B101" s="195"/>
      <c r="C101" s="201" t="s">
        <v>218</v>
      </c>
      <c r="D101" s="198"/>
      <c r="E101" s="198"/>
      <c r="F101" s="196"/>
      <c r="G101" s="196"/>
      <c r="H101" s="196"/>
      <c r="I101" s="196"/>
      <c r="J101" s="196"/>
    </row>
    <row r="102" spans="1:10" ht="16" thickBot="1">
      <c r="A102" s="192"/>
      <c r="B102" s="195"/>
      <c r="C102" s="202" t="s">
        <v>216</v>
      </c>
      <c r="D102" s="198"/>
      <c r="E102" s="198"/>
      <c r="F102" s="196">
        <v>27.23</v>
      </c>
      <c r="G102" s="186">
        <f>+F102*1.11</f>
        <v>30.225300000000004</v>
      </c>
      <c r="H102" s="186">
        <f>+G102+1.1</f>
        <v>31.325300000000006</v>
      </c>
      <c r="I102" s="161">
        <f>+G102*1.1</f>
        <v>33.247830000000008</v>
      </c>
      <c r="J102" s="161">
        <f>(+G102*1.1)*1.1</f>
        <v>36.572613000000011</v>
      </c>
    </row>
    <row r="103" spans="1:10" ht="16" thickBot="1">
      <c r="A103" s="192"/>
      <c r="B103" s="195"/>
      <c r="C103" s="200"/>
      <c r="D103" s="198"/>
      <c r="E103" s="198"/>
      <c r="F103" s="196"/>
      <c r="G103" s="196"/>
      <c r="H103" s="196"/>
      <c r="I103" s="196"/>
      <c r="J103" s="196"/>
    </row>
    <row r="104" spans="1:10" ht="16" thickBot="1">
      <c r="A104" s="192"/>
      <c r="B104" s="195"/>
      <c r="C104" s="201" t="s">
        <v>219</v>
      </c>
      <c r="D104" s="198"/>
      <c r="E104" s="198"/>
      <c r="F104" s="196"/>
      <c r="G104" s="196"/>
      <c r="H104" s="196"/>
      <c r="I104" s="196"/>
      <c r="J104" s="196"/>
    </row>
    <row r="105" spans="1:10" ht="15" thickBot="1">
      <c r="A105" s="192"/>
      <c r="B105" s="195"/>
      <c r="C105" s="200" t="s">
        <v>220</v>
      </c>
      <c r="D105" s="198"/>
      <c r="E105" s="198"/>
      <c r="F105" s="186">
        <f>+E105*1.11</f>
        <v>0</v>
      </c>
      <c r="G105" s="186">
        <f>+F105*1.11</f>
        <v>0</v>
      </c>
      <c r="H105" s="186">
        <v>0</v>
      </c>
      <c r="I105" s="161">
        <f>+G105*1.1</f>
        <v>0</v>
      </c>
      <c r="J105" s="161">
        <f>(+G105*1.1)*1.1</f>
        <v>0</v>
      </c>
    </row>
    <row r="106" spans="1:10" ht="16" thickBot="1">
      <c r="A106" s="192"/>
      <c r="B106" s="195"/>
      <c r="C106" s="200" t="s">
        <v>244</v>
      </c>
      <c r="D106" s="198"/>
      <c r="E106" s="198"/>
      <c r="F106" s="196">
        <v>4.4400000000000004</v>
      </c>
      <c r="G106" s="186">
        <f>+F106*1.11</f>
        <v>4.9284000000000008</v>
      </c>
      <c r="H106" s="186">
        <f>+G106+1.1</f>
        <v>6.0284000000000013</v>
      </c>
      <c r="I106" s="161">
        <f>+G106*1.1</f>
        <v>5.4212400000000009</v>
      </c>
      <c r="J106" s="161">
        <f>(+G106*1.1)*1.1</f>
        <v>5.9633640000000012</v>
      </c>
    </row>
    <row r="107" spans="1:10" ht="16" thickBot="1">
      <c r="A107" s="192"/>
      <c r="B107" s="195"/>
      <c r="C107" s="200" t="s">
        <v>214</v>
      </c>
      <c r="D107" s="198"/>
      <c r="E107" s="198"/>
      <c r="F107" s="196">
        <v>4.74</v>
      </c>
      <c r="G107" s="186">
        <f>+F107*1.11</f>
        <v>5.261400000000001</v>
      </c>
      <c r="H107" s="186">
        <f>+G107+1.1</f>
        <v>6.3614000000000015</v>
      </c>
      <c r="I107" s="161">
        <f>+G107*1.1</f>
        <v>5.7875400000000017</v>
      </c>
      <c r="J107" s="161">
        <f>(+G107*1.1)*1.1</f>
        <v>6.3662940000000026</v>
      </c>
    </row>
    <row r="108" spans="1:10" ht="16" thickBot="1">
      <c r="A108" s="192"/>
      <c r="B108" s="193" t="s">
        <v>221</v>
      </c>
      <c r="C108" s="194" t="s">
        <v>222</v>
      </c>
      <c r="D108" s="198"/>
      <c r="E108" s="198"/>
      <c r="F108" s="196"/>
      <c r="G108" s="196"/>
      <c r="H108" s="196"/>
      <c r="I108" s="196"/>
      <c r="J108" s="196"/>
    </row>
    <row r="109" spans="1:10" ht="16" thickBot="1">
      <c r="A109" s="192"/>
      <c r="B109" s="193"/>
      <c r="C109" s="195" t="s">
        <v>208</v>
      </c>
      <c r="D109" s="198"/>
      <c r="E109" s="198"/>
      <c r="F109" s="196">
        <v>73.56</v>
      </c>
      <c r="G109" s="186">
        <f>+F109*1.11</f>
        <v>81.651600000000016</v>
      </c>
      <c r="H109" s="186">
        <f>+G109+1.1</f>
        <v>82.75160000000001</v>
      </c>
      <c r="I109" s="161">
        <f>+G109*1.1</f>
        <v>89.816760000000031</v>
      </c>
      <c r="J109" s="161">
        <f>(+G109*1.1)*1.1</f>
        <v>98.798436000000038</v>
      </c>
    </row>
    <row r="110" spans="1:10" ht="16" thickBot="1">
      <c r="A110" s="192"/>
      <c r="B110" s="193"/>
      <c r="C110" s="199"/>
      <c r="D110" s="195"/>
      <c r="E110" s="195"/>
      <c r="F110" s="196"/>
      <c r="G110" s="196"/>
      <c r="H110" s="196"/>
      <c r="I110" s="196"/>
      <c r="J110" s="196"/>
    </row>
    <row r="111" spans="1:10" ht="16" thickBot="1">
      <c r="A111" s="192"/>
      <c r="B111" s="195"/>
      <c r="C111" s="200" t="s">
        <v>220</v>
      </c>
      <c r="D111" s="198"/>
      <c r="E111" s="198"/>
      <c r="F111" s="196">
        <v>2.73</v>
      </c>
      <c r="G111" s="186">
        <f>+F111*1.11</f>
        <v>3.0303000000000004</v>
      </c>
      <c r="H111" s="186">
        <f>+G111+1.1</f>
        <v>4.1303000000000001</v>
      </c>
      <c r="I111" s="161">
        <f>+G111*1.1</f>
        <v>3.3333300000000006</v>
      </c>
      <c r="J111" s="161">
        <f>(+G111*1.1)*1.1</f>
        <v>3.6666630000000011</v>
      </c>
    </row>
    <row r="112" spans="1:10" ht="16" thickBot="1">
      <c r="A112" s="192"/>
      <c r="B112" s="195"/>
      <c r="C112" s="200" t="s">
        <v>223</v>
      </c>
      <c r="D112" s="198"/>
      <c r="E112" s="198"/>
      <c r="F112" s="196">
        <v>3.4</v>
      </c>
      <c r="G112" s="186">
        <f t="shared" ref="G112:G118" si="5">+F112*1.11</f>
        <v>3.774</v>
      </c>
      <c r="H112" s="186">
        <f t="shared" ref="H112:H118" si="6">+G112+1.1</f>
        <v>4.8740000000000006</v>
      </c>
      <c r="I112" s="161">
        <f t="shared" ref="I112:I118" si="7">+G112*1.1</f>
        <v>4.1514000000000006</v>
      </c>
      <c r="J112" s="161">
        <f>(+G112*1.1)*1.1</f>
        <v>4.5665400000000007</v>
      </c>
    </row>
    <row r="113" spans="1:12" ht="16" thickBot="1">
      <c r="A113" s="192"/>
      <c r="B113" s="195"/>
      <c r="C113" s="200" t="s">
        <v>214</v>
      </c>
      <c r="D113" s="198"/>
      <c r="E113" s="198"/>
      <c r="F113" s="196">
        <v>4.28</v>
      </c>
      <c r="G113" s="186">
        <f t="shared" si="5"/>
        <v>4.7508000000000008</v>
      </c>
      <c r="H113" s="186">
        <f t="shared" si="6"/>
        <v>5.8508000000000013</v>
      </c>
      <c r="I113" s="161">
        <f t="shared" si="7"/>
        <v>5.225880000000001</v>
      </c>
      <c r="J113" s="161">
        <f>(+G113*1.1)*1.1</f>
        <v>5.7484680000000017</v>
      </c>
    </row>
    <row r="114" spans="1:12" ht="16" thickBot="1">
      <c r="A114" s="192"/>
      <c r="B114" s="195"/>
      <c r="C114" s="202" t="s">
        <v>224</v>
      </c>
      <c r="D114" s="203"/>
      <c r="E114" s="196"/>
      <c r="F114" s="196">
        <v>4.26</v>
      </c>
      <c r="G114" s="186">
        <f t="shared" si="5"/>
        <v>4.7286000000000001</v>
      </c>
      <c r="H114" s="186">
        <f t="shared" si="6"/>
        <v>5.8285999999999998</v>
      </c>
      <c r="I114" s="161">
        <f t="shared" si="7"/>
        <v>5.2014600000000009</v>
      </c>
      <c r="J114" s="161">
        <f>(+G114*1.1)*1.1</f>
        <v>5.7216060000000013</v>
      </c>
    </row>
    <row r="115" spans="1:12" ht="16" thickBot="1">
      <c r="A115" s="192"/>
      <c r="B115" s="195"/>
      <c r="C115" s="199"/>
      <c r="D115" s="195"/>
      <c r="E115" s="195"/>
      <c r="F115" s="196"/>
      <c r="G115" s="196"/>
      <c r="H115" s="196"/>
      <c r="I115" s="196"/>
      <c r="J115" s="196"/>
    </row>
    <row r="116" spans="1:12" ht="16" thickBot="1">
      <c r="A116" s="192"/>
      <c r="B116" s="193" t="s">
        <v>225</v>
      </c>
      <c r="C116" s="202" t="s">
        <v>226</v>
      </c>
      <c r="D116" s="198"/>
      <c r="E116" s="198"/>
      <c r="F116" s="196">
        <v>36.4</v>
      </c>
      <c r="G116" s="186">
        <f t="shared" si="5"/>
        <v>40.404000000000003</v>
      </c>
      <c r="H116" s="186">
        <f t="shared" si="6"/>
        <v>41.504000000000005</v>
      </c>
      <c r="I116" s="161">
        <f t="shared" si="7"/>
        <v>44.444400000000009</v>
      </c>
      <c r="J116" s="161">
        <f>(+G116*1.1)*1.1</f>
        <v>48.888840000000016</v>
      </c>
    </row>
    <row r="117" spans="1:12" ht="16" thickBot="1">
      <c r="A117" s="192"/>
      <c r="B117" s="193"/>
      <c r="C117" s="202"/>
      <c r="D117" s="198"/>
      <c r="E117" s="198"/>
      <c r="F117" s="196"/>
      <c r="G117" s="196"/>
      <c r="H117" s="196"/>
      <c r="I117" s="196"/>
      <c r="J117" s="196"/>
    </row>
    <row r="118" spans="1:12" ht="16" thickBot="1">
      <c r="A118" s="192"/>
      <c r="B118" s="193" t="s">
        <v>227</v>
      </c>
      <c r="C118" s="202" t="s">
        <v>228</v>
      </c>
      <c r="D118" s="204"/>
      <c r="E118" s="204"/>
      <c r="F118" s="205">
        <v>200</v>
      </c>
      <c r="G118" s="186">
        <f t="shared" si="5"/>
        <v>222.00000000000003</v>
      </c>
      <c r="H118" s="186">
        <f t="shared" si="6"/>
        <v>223.10000000000002</v>
      </c>
      <c r="I118" s="161">
        <f t="shared" si="7"/>
        <v>244.20000000000005</v>
      </c>
      <c r="J118" s="161">
        <f>(+G118*1.1)*1.1</f>
        <v>268.62000000000006</v>
      </c>
    </row>
    <row r="119" spans="1:12" ht="16" thickBot="1">
      <c r="A119" s="192"/>
      <c r="B119" s="195"/>
      <c r="C119" s="195"/>
      <c r="D119" s="195"/>
      <c r="E119" s="195"/>
      <c r="F119" s="196"/>
      <c r="G119" s="196"/>
      <c r="H119" s="196"/>
      <c r="I119" s="196"/>
      <c r="J119" s="196"/>
    </row>
    <row r="120" spans="1:12">
      <c r="A120" s="62"/>
      <c r="B120" s="61" t="s">
        <v>29</v>
      </c>
      <c r="I120" s="13"/>
      <c r="J120" s="13"/>
    </row>
    <row r="121" spans="1:12" ht="16" thickBot="1">
      <c r="A121" s="192"/>
      <c r="B121" s="206"/>
      <c r="C121" s="206"/>
      <c r="D121" s="206"/>
      <c r="E121" s="206"/>
      <c r="F121" s="207"/>
      <c r="G121" s="207"/>
      <c r="H121" s="207"/>
      <c r="I121" s="207"/>
      <c r="J121" s="207"/>
    </row>
    <row r="122" spans="1:12" ht="31" thickBot="1">
      <c r="A122" s="3"/>
      <c r="B122" s="9"/>
      <c r="C122" s="10"/>
      <c r="D122" s="11"/>
      <c r="E122" s="12" t="s">
        <v>3</v>
      </c>
      <c r="F122" s="12" t="s">
        <v>4</v>
      </c>
      <c r="G122" s="12" t="s">
        <v>5</v>
      </c>
      <c r="H122" s="12" t="s">
        <v>32</v>
      </c>
      <c r="I122" s="12" t="s">
        <v>7</v>
      </c>
      <c r="J122" s="12" t="s">
        <v>8</v>
      </c>
    </row>
    <row r="123" spans="1:12" ht="16.5" customHeight="1" thickBot="1">
      <c r="A123" s="3"/>
      <c r="B123" s="965" t="s">
        <v>30</v>
      </c>
      <c r="C123" s="966"/>
      <c r="D123" s="967"/>
      <c r="E123" s="968" t="s">
        <v>30</v>
      </c>
      <c r="F123" s="969"/>
      <c r="G123" s="969"/>
      <c r="H123" s="969"/>
      <c r="I123" s="969"/>
      <c r="J123" s="969"/>
    </row>
    <row r="124" spans="1:12" s="149" customFormat="1" ht="15" thickBot="1">
      <c r="C124" s="150"/>
      <c r="D124" s="151"/>
      <c r="E124" s="152"/>
      <c r="F124" s="152"/>
      <c r="G124" s="152"/>
      <c r="H124" s="151"/>
      <c r="I124" s="151"/>
      <c r="J124" s="151"/>
      <c r="L124" s="13"/>
    </row>
    <row r="125" spans="1:12" s="149" customFormat="1" ht="31" thickBot="1">
      <c r="A125" s="153"/>
      <c r="B125" s="9" t="s">
        <v>31</v>
      </c>
      <c r="C125" s="10"/>
      <c r="D125" s="11"/>
      <c r="E125" s="64" t="s">
        <v>3</v>
      </c>
      <c r="F125" s="64" t="s">
        <v>4</v>
      </c>
      <c r="G125" s="64" t="s">
        <v>5</v>
      </c>
      <c r="H125" s="64" t="s">
        <v>32</v>
      </c>
      <c r="I125" s="64" t="s">
        <v>7</v>
      </c>
      <c r="J125" s="64" t="s">
        <v>8</v>
      </c>
      <c r="L125" s="13"/>
    </row>
    <row r="126" spans="1:12" ht="16" thickBot="1">
      <c r="A126" s="192"/>
      <c r="B126" s="193"/>
      <c r="C126" s="195"/>
      <c r="D126" s="195"/>
      <c r="E126" s="195"/>
      <c r="F126" s="196"/>
      <c r="G126" s="196"/>
      <c r="H126" s="196"/>
      <c r="I126" s="196"/>
      <c r="J126" s="196"/>
      <c r="L126" s="149"/>
    </row>
    <row r="127" spans="1:12" ht="16" thickBot="1">
      <c r="A127" s="192"/>
      <c r="B127" s="193" t="s">
        <v>205</v>
      </c>
      <c r="C127" s="195" t="s">
        <v>230</v>
      </c>
      <c r="D127" s="198"/>
      <c r="E127" s="198"/>
      <c r="F127" s="196">
        <v>32</v>
      </c>
      <c r="G127" s="186">
        <f>+F127*1.11</f>
        <v>35.520000000000003</v>
      </c>
      <c r="H127" s="161">
        <f>+G127+1.1</f>
        <v>36.620000000000005</v>
      </c>
      <c r="I127" s="161">
        <f>+G127*1.1</f>
        <v>39.07200000000001</v>
      </c>
      <c r="J127" s="161">
        <f>(+G127*1.1)*1.1</f>
        <v>42.979200000000013</v>
      </c>
      <c r="L127" s="149"/>
    </row>
    <row r="128" spans="1:12" ht="16" thickBot="1">
      <c r="A128" s="192"/>
      <c r="B128" s="195"/>
      <c r="C128" s="202"/>
      <c r="D128" s="198"/>
      <c r="E128" s="198"/>
      <c r="F128" s="196"/>
      <c r="G128" s="196"/>
      <c r="H128" s="196"/>
      <c r="I128" s="196"/>
      <c r="J128" s="196"/>
    </row>
    <row r="129" spans="1:10" ht="16" thickBot="1">
      <c r="A129" s="192"/>
      <c r="B129" s="195"/>
      <c r="C129" s="202"/>
      <c r="D129" s="198"/>
      <c r="E129" s="198"/>
      <c r="F129" s="196"/>
      <c r="G129" s="196"/>
      <c r="H129" s="196"/>
      <c r="I129" s="196"/>
      <c r="J129" s="196"/>
    </row>
    <row r="130" spans="1:10" ht="16" thickBot="1">
      <c r="A130" s="192"/>
      <c r="B130" s="195"/>
      <c r="C130" s="195" t="s">
        <v>231</v>
      </c>
      <c r="D130" s="198"/>
      <c r="E130" s="198"/>
      <c r="F130" s="196">
        <v>60</v>
      </c>
      <c r="G130" s="186">
        <f>+F130*1.11</f>
        <v>66.600000000000009</v>
      </c>
      <c r="H130" s="161">
        <f>+G130+1.1</f>
        <v>67.7</v>
      </c>
      <c r="I130" s="161">
        <f>+G130*1.1</f>
        <v>73.260000000000019</v>
      </c>
      <c r="J130" s="161">
        <f>(+G130*1.1)*1.1</f>
        <v>80.586000000000027</v>
      </c>
    </row>
    <row r="131" spans="1:10" ht="16" thickBot="1">
      <c r="A131" s="192"/>
      <c r="B131" s="195"/>
      <c r="C131" s="202"/>
      <c r="D131" s="198"/>
      <c r="E131" s="198"/>
      <c r="F131" s="196"/>
      <c r="G131" s="196"/>
      <c r="H131" s="196"/>
      <c r="I131" s="196"/>
      <c r="J131" s="196"/>
    </row>
    <row r="132" spans="1:10" ht="16" thickBot="1">
      <c r="A132" s="192"/>
      <c r="B132" s="195"/>
      <c r="C132" s="202"/>
      <c r="D132" s="198"/>
      <c r="E132" s="198"/>
      <c r="F132" s="196"/>
      <c r="G132" s="196"/>
      <c r="H132" s="196"/>
      <c r="I132" s="196"/>
      <c r="J132" s="196"/>
    </row>
    <row r="133" spans="1:10" ht="16" thickBot="1">
      <c r="A133" s="192"/>
      <c r="B133" s="193" t="s">
        <v>221</v>
      </c>
      <c r="C133" s="194" t="s">
        <v>232</v>
      </c>
      <c r="D133" s="198"/>
      <c r="E133" s="198"/>
      <c r="F133" s="196"/>
      <c r="G133" s="196"/>
      <c r="H133" s="196"/>
      <c r="I133" s="196"/>
      <c r="J133" s="196"/>
    </row>
    <row r="134" spans="1:10" ht="16" thickBot="1">
      <c r="A134" s="192"/>
      <c r="B134" s="195"/>
      <c r="C134" s="202" t="s">
        <v>15</v>
      </c>
      <c r="D134" s="198"/>
      <c r="E134" s="198"/>
      <c r="F134" s="196"/>
      <c r="G134" s="196"/>
      <c r="H134" s="196"/>
      <c r="I134" s="196"/>
      <c r="J134" s="196"/>
    </row>
    <row r="135" spans="1:10" ht="16" thickBot="1">
      <c r="A135" s="192"/>
      <c r="B135" s="195"/>
      <c r="C135" s="200" t="s">
        <v>233</v>
      </c>
      <c r="D135" s="198"/>
      <c r="E135" s="198"/>
      <c r="F135" s="196">
        <v>5</v>
      </c>
      <c r="G135" s="186">
        <f>+F135*1.11</f>
        <v>5.5500000000000007</v>
      </c>
      <c r="H135" s="161">
        <f>+G135+1.1</f>
        <v>6.65</v>
      </c>
      <c r="I135" s="161">
        <f>+G135*1.1</f>
        <v>6.1050000000000013</v>
      </c>
      <c r="J135" s="161">
        <f>(+G135*1.1)*1.1</f>
        <v>6.7155000000000022</v>
      </c>
    </row>
    <row r="136" spans="1:10" ht="16" thickBot="1">
      <c r="A136" s="192"/>
      <c r="B136" s="195"/>
      <c r="C136" s="200" t="s">
        <v>234</v>
      </c>
      <c r="D136" s="198"/>
      <c r="E136" s="198"/>
      <c r="F136" s="196">
        <v>5</v>
      </c>
      <c r="G136" s="186">
        <f>+F136*1.11</f>
        <v>5.5500000000000007</v>
      </c>
      <c r="H136" s="161">
        <f>+G136+1.1</f>
        <v>6.65</v>
      </c>
      <c r="I136" s="161">
        <f>+G136*1.1</f>
        <v>6.1050000000000013</v>
      </c>
      <c r="J136" s="161">
        <f>(+G136*1.1)*1.1</f>
        <v>6.7155000000000022</v>
      </c>
    </row>
    <row r="137" spans="1:10" ht="16" thickBot="1">
      <c r="A137" s="192"/>
      <c r="B137" s="195"/>
      <c r="C137" s="200"/>
      <c r="D137" s="198"/>
      <c r="E137" s="198"/>
      <c r="F137" s="196"/>
      <c r="G137" s="196"/>
      <c r="H137" s="196"/>
      <c r="I137" s="196"/>
      <c r="J137" s="196"/>
    </row>
    <row r="138" spans="1:10" ht="16" thickBot="1">
      <c r="A138" s="192"/>
      <c r="B138" s="195"/>
      <c r="C138" s="202" t="s">
        <v>235</v>
      </c>
      <c r="D138" s="198"/>
      <c r="E138" s="198"/>
      <c r="F138" s="196">
        <v>19.95</v>
      </c>
      <c r="G138" s="186">
        <f>+F138*1.11</f>
        <v>22.144500000000001</v>
      </c>
      <c r="H138" s="161">
        <f>+G138+1.1</f>
        <v>23.244500000000002</v>
      </c>
      <c r="I138" s="161">
        <f>+G138*1.1</f>
        <v>24.358950000000004</v>
      </c>
      <c r="J138" s="161">
        <f>(+G138*1.1)*1.1</f>
        <v>26.794845000000006</v>
      </c>
    </row>
    <row r="139" spans="1:10" ht="16" thickBot="1">
      <c r="A139" s="192"/>
      <c r="B139" s="195"/>
      <c r="C139" s="200"/>
      <c r="D139" s="198"/>
      <c r="E139" s="198"/>
      <c r="F139" s="196"/>
      <c r="G139" s="196"/>
      <c r="H139" s="196"/>
      <c r="I139" s="196"/>
      <c r="J139" s="196"/>
    </row>
    <row r="140" spans="1:10" ht="16" thickBot="1">
      <c r="A140" s="192"/>
      <c r="B140" s="195"/>
      <c r="C140" s="202" t="s">
        <v>224</v>
      </c>
      <c r="D140" s="198"/>
      <c r="E140" s="198"/>
      <c r="F140" s="196">
        <v>4.7</v>
      </c>
      <c r="G140" s="186">
        <f>+F140*1.11</f>
        <v>5.2170000000000005</v>
      </c>
      <c r="H140" s="161">
        <f>+G140+1.1</f>
        <v>6.3170000000000002</v>
      </c>
      <c r="I140" s="161">
        <f>+G140*1.1</f>
        <v>5.7387000000000015</v>
      </c>
      <c r="J140" s="161">
        <f>(+G140*1.1)*1.1</f>
        <v>6.3125700000000018</v>
      </c>
    </row>
    <row r="141" spans="1:10" ht="16" thickBot="1">
      <c r="A141" s="192"/>
      <c r="B141" s="195"/>
      <c r="C141" s="202"/>
      <c r="D141" s="198"/>
      <c r="E141" s="198"/>
      <c r="F141" s="196"/>
      <c r="G141" s="208"/>
      <c r="H141" s="196"/>
      <c r="I141" s="208"/>
      <c r="J141" s="208"/>
    </row>
    <row r="142" spans="1:10" ht="16" thickBot="1">
      <c r="A142" s="192"/>
      <c r="B142" s="193" t="s">
        <v>225</v>
      </c>
      <c r="C142" s="209" t="s">
        <v>236</v>
      </c>
      <c r="D142" s="198"/>
      <c r="E142" s="198"/>
      <c r="F142" s="196"/>
      <c r="G142" s="196"/>
      <c r="H142" s="196"/>
      <c r="I142" s="196"/>
      <c r="J142" s="196"/>
    </row>
    <row r="143" spans="1:10" ht="15" thickBot="1">
      <c r="A143" s="192"/>
      <c r="B143" s="195"/>
      <c r="C143" s="195"/>
      <c r="D143" s="198"/>
      <c r="E143" s="198"/>
      <c r="F143" s="198"/>
      <c r="G143" s="198"/>
      <c r="H143" s="198"/>
      <c r="I143" s="198"/>
      <c r="J143" s="198"/>
    </row>
    <row r="144" spans="1:10" ht="15" thickBot="1">
      <c r="A144" s="192"/>
      <c r="B144" s="193" t="s">
        <v>237</v>
      </c>
      <c r="C144" s="209" t="s">
        <v>238</v>
      </c>
      <c r="D144" s="198"/>
      <c r="E144" s="198"/>
      <c r="F144" s="198"/>
      <c r="G144" s="198"/>
      <c r="H144" s="198"/>
      <c r="I144" s="198"/>
      <c r="J144" s="198"/>
    </row>
    <row r="145" spans="1:10" ht="15" thickBot="1">
      <c r="A145" s="192"/>
      <c r="B145" s="195"/>
      <c r="C145" s="195" t="s">
        <v>239</v>
      </c>
      <c r="D145" s="198"/>
      <c r="E145" s="198"/>
      <c r="F145" s="198"/>
      <c r="G145" s="198"/>
      <c r="H145" s="198"/>
      <c r="I145" s="198"/>
      <c r="J145" s="198"/>
    </row>
    <row r="146" spans="1:10" ht="15" thickBot="1">
      <c r="A146" s="192"/>
      <c r="B146" s="195"/>
      <c r="C146" s="195"/>
      <c r="D146" s="198"/>
      <c r="E146" s="198"/>
      <c r="F146" s="198"/>
      <c r="G146" s="198"/>
      <c r="H146" s="198"/>
      <c r="I146" s="198"/>
      <c r="J146" s="198"/>
    </row>
    <row r="147" spans="1:10" ht="15" thickBot="1">
      <c r="A147" s="192"/>
      <c r="B147" s="193" t="s">
        <v>240</v>
      </c>
      <c r="C147" s="209" t="s">
        <v>241</v>
      </c>
      <c r="D147" s="198"/>
      <c r="E147" s="198"/>
      <c r="F147" s="195"/>
      <c r="G147" s="195"/>
      <c r="H147" s="195"/>
      <c r="I147" s="195"/>
      <c r="J147" s="195"/>
    </row>
    <row r="148" spans="1:10" ht="15" thickBot="1">
      <c r="A148" s="192"/>
      <c r="B148" s="195"/>
      <c r="C148" s="195" t="s">
        <v>242</v>
      </c>
      <c r="D148" s="198"/>
      <c r="E148" s="198"/>
      <c r="F148" s="195"/>
      <c r="G148" s="195"/>
      <c r="H148" s="195"/>
      <c r="I148" s="195"/>
      <c r="J148" s="195"/>
    </row>
    <row r="149" spans="1:10" ht="15" thickBot="1">
      <c r="A149" s="192"/>
      <c r="B149" s="195"/>
      <c r="C149" s="195"/>
      <c r="D149" s="198"/>
      <c r="E149" s="198"/>
      <c r="F149" s="195"/>
      <c r="G149" s="195"/>
      <c r="H149" s="195"/>
      <c r="I149" s="195"/>
      <c r="J149" s="195"/>
    </row>
    <row r="150" spans="1:10">
      <c r="A150" s="62"/>
      <c r="B150" s="61" t="s">
        <v>29</v>
      </c>
      <c r="I150" s="13"/>
      <c r="J150" s="13"/>
    </row>
    <row r="151" spans="1:10" ht="16" thickBot="1">
      <c r="A151" s="192"/>
      <c r="B151" s="206"/>
      <c r="C151" s="206"/>
      <c r="D151" s="206"/>
      <c r="E151" s="206"/>
      <c r="F151" s="207"/>
      <c r="G151" s="207"/>
      <c r="H151" s="207"/>
      <c r="I151" s="207"/>
      <c r="J151" s="207"/>
    </row>
    <row r="152" spans="1:10" ht="31" thickBot="1">
      <c r="A152" s="3"/>
      <c r="B152" s="9"/>
      <c r="C152" s="10"/>
      <c r="D152" s="11"/>
      <c r="E152" s="12" t="s">
        <v>3</v>
      </c>
      <c r="F152" s="12" t="s">
        <v>4</v>
      </c>
      <c r="G152" s="12" t="s">
        <v>5</v>
      </c>
      <c r="H152" s="12" t="s">
        <v>32</v>
      </c>
      <c r="I152" s="12" t="s">
        <v>7</v>
      </c>
      <c r="J152" s="12" t="s">
        <v>8</v>
      </c>
    </row>
    <row r="153" spans="1:10" ht="15" thickBot="1">
      <c r="A153" s="3"/>
      <c r="B153" s="970" t="s">
        <v>202</v>
      </c>
      <c r="C153" s="971"/>
      <c r="D153" s="972"/>
      <c r="E153" s="973" t="s">
        <v>229</v>
      </c>
      <c r="F153" s="974"/>
      <c r="G153" s="974"/>
      <c r="H153" s="974"/>
      <c r="I153" s="974"/>
      <c r="J153" s="974"/>
    </row>
    <row r="154" spans="1:10" ht="15" thickBot="1">
      <c r="A154" s="3"/>
      <c r="B154" s="981" t="s">
        <v>113</v>
      </c>
      <c r="C154" s="982"/>
      <c r="D154" s="983"/>
      <c r="E154" s="984" t="s">
        <v>113</v>
      </c>
      <c r="F154" s="985"/>
      <c r="G154" s="985"/>
      <c r="H154" s="985"/>
      <c r="I154" s="985"/>
      <c r="J154" s="985"/>
    </row>
    <row r="155" spans="1:10" ht="15" thickBot="1">
      <c r="A155" s="3"/>
      <c r="B155" s="975" t="s">
        <v>10</v>
      </c>
      <c r="C155" s="976"/>
      <c r="D155" s="977"/>
      <c r="E155" s="978" t="s">
        <v>10</v>
      </c>
      <c r="F155" s="979"/>
      <c r="G155" s="979"/>
      <c r="H155" s="979"/>
      <c r="I155" s="979"/>
      <c r="J155" s="979"/>
    </row>
    <row r="156" spans="1:10" ht="15" thickBot="1">
      <c r="A156" s="192"/>
      <c r="B156" s="195"/>
      <c r="C156" s="193"/>
      <c r="D156" s="198"/>
      <c r="E156" s="208"/>
      <c r="F156" s="198"/>
      <c r="G156" s="208"/>
      <c r="H156" s="198"/>
      <c r="I156" s="208"/>
      <c r="J156" s="208"/>
    </row>
    <row r="157" spans="1:10" ht="15" thickBot="1">
      <c r="A157" s="192"/>
      <c r="B157" s="209" t="s">
        <v>246</v>
      </c>
      <c r="C157" s="195"/>
      <c r="D157" s="195"/>
      <c r="E157" s="195"/>
      <c r="F157" s="195"/>
      <c r="G157" s="208"/>
      <c r="H157" s="195"/>
      <c r="I157" s="208"/>
      <c r="J157" s="208"/>
    </row>
    <row r="158" spans="1:10" ht="15" thickBot="1">
      <c r="A158" s="192"/>
      <c r="B158" s="209"/>
      <c r="C158" s="195"/>
      <c r="D158" s="195"/>
      <c r="E158" s="195"/>
      <c r="F158" s="195"/>
      <c r="G158" s="208"/>
      <c r="H158" s="195"/>
      <c r="I158" s="208"/>
      <c r="J158" s="208"/>
    </row>
    <row r="159" spans="1:10" ht="15" thickBot="1">
      <c r="A159" s="192"/>
      <c r="B159" s="195" t="s">
        <v>247</v>
      </c>
      <c r="C159" s="195"/>
      <c r="D159" s="195"/>
      <c r="E159" s="195"/>
      <c r="F159" s="195"/>
      <c r="G159" s="208"/>
      <c r="H159" s="195"/>
      <c r="I159" s="208"/>
      <c r="J159" s="208"/>
    </row>
    <row r="160" spans="1:10" ht="15" thickBot="1">
      <c r="A160" s="192"/>
      <c r="B160" s="195" t="s">
        <v>248</v>
      </c>
      <c r="C160" s="195"/>
      <c r="D160" s="195"/>
      <c r="E160" s="195"/>
      <c r="F160" s="195"/>
      <c r="G160" s="208"/>
      <c r="H160" s="195"/>
      <c r="I160" s="208"/>
      <c r="J160" s="208"/>
    </row>
    <row r="161" spans="1:10" ht="15" thickBot="1">
      <c r="A161" s="192"/>
      <c r="B161" s="195"/>
      <c r="C161" s="195"/>
      <c r="D161" s="195"/>
      <c r="E161" s="195"/>
      <c r="F161" s="195"/>
      <c r="G161" s="208"/>
      <c r="H161" s="195"/>
      <c r="I161" s="208"/>
      <c r="J161" s="208"/>
    </row>
    <row r="162" spans="1:10" ht="15" thickBot="1">
      <c r="A162" s="192"/>
      <c r="B162" s="195"/>
      <c r="C162" s="193" t="s">
        <v>249</v>
      </c>
      <c r="D162" s="195"/>
      <c r="E162" s="195"/>
      <c r="F162" s="195"/>
      <c r="G162" s="208"/>
      <c r="H162" s="195"/>
      <c r="I162" s="208"/>
      <c r="J162" s="208"/>
    </row>
    <row r="163" spans="1:10" ht="15" thickBot="1">
      <c r="A163" s="192"/>
      <c r="B163" s="195"/>
      <c r="C163" s="195" t="s">
        <v>250</v>
      </c>
      <c r="D163" s="198"/>
      <c r="E163" s="208"/>
      <c r="F163" s="198"/>
      <c r="G163" s="198">
        <v>665.5</v>
      </c>
      <c r="H163" s="198">
        <f>G163*10%+G163</f>
        <v>732.05</v>
      </c>
      <c r="I163" s="198">
        <f>H163*10%+H163</f>
        <v>805.255</v>
      </c>
      <c r="J163" s="198">
        <f>I163*10%+I163</f>
        <v>885.78049999999996</v>
      </c>
    </row>
    <row r="164" spans="1:10" ht="15" thickBot="1">
      <c r="A164" s="192"/>
      <c r="B164" s="195"/>
      <c r="C164" s="195" t="s">
        <v>251</v>
      </c>
      <c r="D164" s="198"/>
      <c r="E164" s="208"/>
      <c r="F164" s="198"/>
      <c r="G164" s="198">
        <v>665.5</v>
      </c>
      <c r="H164" s="198">
        <f t="shared" ref="H164:J167" si="8">G164*10%+G164</f>
        <v>732.05</v>
      </c>
      <c r="I164" s="198">
        <f t="shared" si="8"/>
        <v>805.255</v>
      </c>
      <c r="J164" s="198">
        <f t="shared" si="8"/>
        <v>885.78049999999996</v>
      </c>
    </row>
    <row r="165" spans="1:10" ht="31" thickBot="1">
      <c r="A165" s="192"/>
      <c r="B165" s="195"/>
      <c r="C165" s="210" t="s">
        <v>252</v>
      </c>
      <c r="D165" s="198"/>
      <c r="E165" s="208"/>
      <c r="F165" s="198"/>
      <c r="G165" s="198">
        <v>665.5</v>
      </c>
      <c r="H165" s="198">
        <f t="shared" si="8"/>
        <v>732.05</v>
      </c>
      <c r="I165" s="198">
        <f t="shared" si="8"/>
        <v>805.255</v>
      </c>
      <c r="J165" s="198">
        <f t="shared" si="8"/>
        <v>885.78049999999996</v>
      </c>
    </row>
    <row r="166" spans="1:10" ht="15" thickBot="1">
      <c r="A166" s="192"/>
      <c r="B166" s="195"/>
      <c r="C166" s="195" t="s">
        <v>253</v>
      </c>
      <c r="D166" s="198"/>
      <c r="E166" s="208"/>
      <c r="F166" s="198"/>
      <c r="G166" s="198">
        <v>200</v>
      </c>
      <c r="H166" s="198">
        <f t="shared" si="8"/>
        <v>220</v>
      </c>
      <c r="I166" s="198">
        <f t="shared" si="8"/>
        <v>242</v>
      </c>
      <c r="J166" s="198">
        <f t="shared" si="8"/>
        <v>266.2</v>
      </c>
    </row>
    <row r="167" spans="1:10" ht="15" thickBot="1">
      <c r="A167" s="192"/>
      <c r="B167" s="195"/>
      <c r="C167" s="195" t="s">
        <v>254</v>
      </c>
      <c r="D167" s="198"/>
      <c r="E167" s="208"/>
      <c r="F167" s="198"/>
      <c r="G167" s="198">
        <v>100</v>
      </c>
      <c r="H167" s="198">
        <f t="shared" si="8"/>
        <v>110</v>
      </c>
      <c r="I167" s="198">
        <f t="shared" si="8"/>
        <v>121</v>
      </c>
      <c r="J167" s="198">
        <f t="shared" si="8"/>
        <v>133.1</v>
      </c>
    </row>
    <row r="168" spans="1:10" ht="76" thickBot="1">
      <c r="A168" s="192"/>
      <c r="B168" s="195"/>
      <c r="C168" s="210" t="s">
        <v>255</v>
      </c>
      <c r="D168" s="195"/>
      <c r="E168" s="195"/>
      <c r="F168" s="195"/>
      <c r="G168" s="208"/>
      <c r="H168" s="195"/>
      <c r="I168" s="208"/>
      <c r="J168" s="208"/>
    </row>
    <row r="169" spans="1:10" ht="31" thickBot="1">
      <c r="A169" s="3"/>
      <c r="B169" s="14" t="s">
        <v>256</v>
      </c>
      <c r="C169" s="15"/>
      <c r="D169" s="16"/>
      <c r="E169" s="12" t="s">
        <v>3</v>
      </c>
      <c r="F169" s="12" t="s">
        <v>4</v>
      </c>
      <c r="G169" s="12" t="s">
        <v>5</v>
      </c>
      <c r="H169" s="12" t="s">
        <v>32</v>
      </c>
      <c r="I169" s="12" t="s">
        <v>7</v>
      </c>
      <c r="J169" s="12" t="s">
        <v>8</v>
      </c>
    </row>
    <row r="170" spans="1:10">
      <c r="A170" s="3"/>
      <c r="B170" s="211" t="s">
        <v>257</v>
      </c>
      <c r="C170" s="40" t="s">
        <v>258</v>
      </c>
      <c r="D170" s="41"/>
      <c r="E170" s="212"/>
      <c r="F170" s="213"/>
      <c r="G170" s="213">
        <v>1331</v>
      </c>
      <c r="H170" s="70">
        <v>1464.1000000000001</v>
      </c>
      <c r="I170" s="30">
        <v>1610.5100000000002</v>
      </c>
      <c r="J170" s="30">
        <v>1771.5610000000004</v>
      </c>
    </row>
    <row r="171" spans="1:10" ht="15" thickBot="1">
      <c r="A171" s="3"/>
      <c r="B171" s="214" t="s">
        <v>259</v>
      </c>
      <c r="C171" s="44" t="s">
        <v>260</v>
      </c>
      <c r="D171" s="45"/>
      <c r="E171" s="215"/>
      <c r="F171" s="216"/>
      <c r="G171" s="216">
        <v>2662</v>
      </c>
      <c r="H171" s="217">
        <v>2928.2000000000003</v>
      </c>
      <c r="I171" s="47">
        <v>3221.0200000000004</v>
      </c>
      <c r="J171" s="47">
        <v>3543.1220000000008</v>
      </c>
    </row>
    <row r="172" spans="1:10">
      <c r="A172" s="3"/>
      <c r="B172" s="211" t="s">
        <v>261</v>
      </c>
      <c r="C172" s="40" t="s">
        <v>262</v>
      </c>
      <c r="D172" s="41"/>
      <c r="E172" s="212"/>
      <c r="F172" s="213"/>
      <c r="G172" s="213">
        <v>1464.1000000000001</v>
      </c>
      <c r="H172" s="70">
        <v>1610.5100000000002</v>
      </c>
      <c r="I172" s="30">
        <v>1771.5610000000004</v>
      </c>
      <c r="J172" s="30">
        <v>1948.7171000000005</v>
      </c>
    </row>
    <row r="173" spans="1:10" ht="15" thickBot="1">
      <c r="A173" s="3"/>
      <c r="B173" s="214" t="s">
        <v>263</v>
      </c>
      <c r="C173" s="44" t="s">
        <v>264</v>
      </c>
      <c r="D173" s="45"/>
      <c r="E173" s="215"/>
      <c r="F173" s="216"/>
      <c r="G173" s="216">
        <v>2920.9400000000005</v>
      </c>
      <c r="H173" s="217">
        <v>3213.034000000001</v>
      </c>
      <c r="I173" s="47">
        <v>3534.3374000000013</v>
      </c>
      <c r="J173" s="47">
        <v>3887.7711400000017</v>
      </c>
    </row>
    <row r="174" spans="1:10" ht="15" thickBot="1">
      <c r="A174" s="3"/>
      <c r="B174" s="218" t="s">
        <v>265</v>
      </c>
      <c r="C174" s="21" t="s">
        <v>266</v>
      </c>
      <c r="D174" s="48"/>
      <c r="E174" s="219"/>
      <c r="F174" s="50"/>
      <c r="G174" s="50" t="s">
        <v>267</v>
      </c>
      <c r="H174" s="220" t="s">
        <v>267</v>
      </c>
      <c r="I174" s="221" t="s">
        <v>267</v>
      </c>
      <c r="J174" s="221" t="s">
        <v>267</v>
      </c>
    </row>
    <row r="175" spans="1:10">
      <c r="A175" s="3"/>
      <c r="B175" s="211" t="s">
        <v>268</v>
      </c>
      <c r="C175" s="40" t="s">
        <v>269</v>
      </c>
      <c r="D175" s="41"/>
      <c r="E175" s="212"/>
      <c r="F175" s="213"/>
      <c r="G175" s="213" t="s">
        <v>267</v>
      </c>
      <c r="H175" s="70" t="s">
        <v>267</v>
      </c>
      <c r="I175" s="30" t="s">
        <v>267</v>
      </c>
      <c r="J175" s="30" t="s">
        <v>267</v>
      </c>
    </row>
    <row r="176" spans="1:10">
      <c r="A176" s="3"/>
      <c r="B176" s="222" t="s">
        <v>270</v>
      </c>
      <c r="C176" s="33" t="s">
        <v>271</v>
      </c>
      <c r="D176" s="34"/>
      <c r="E176" s="223"/>
      <c r="F176" s="224"/>
      <c r="G176" s="224" t="s">
        <v>267</v>
      </c>
      <c r="H176" s="225" t="s">
        <v>267</v>
      </c>
      <c r="I176" s="36" t="s">
        <v>267</v>
      </c>
      <c r="J176" s="36" t="s">
        <v>267</v>
      </c>
    </row>
    <row r="177" spans="1:12">
      <c r="A177" s="3"/>
      <c r="B177" s="222"/>
      <c r="C177" s="33" t="s">
        <v>272</v>
      </c>
      <c r="D177" s="34"/>
      <c r="E177" s="223"/>
      <c r="F177" s="224"/>
      <c r="G177" s="224" t="s">
        <v>267</v>
      </c>
      <c r="H177" s="225" t="s">
        <v>267</v>
      </c>
      <c r="I177" s="36" t="s">
        <v>267</v>
      </c>
      <c r="J177" s="36" t="s">
        <v>267</v>
      </c>
    </row>
    <row r="178" spans="1:12">
      <c r="A178" s="3"/>
      <c r="B178" s="222"/>
      <c r="C178" s="33" t="s">
        <v>273</v>
      </c>
      <c r="D178" s="34"/>
      <c r="E178" s="223"/>
      <c r="F178" s="224"/>
      <c r="G178" s="224" t="s">
        <v>267</v>
      </c>
      <c r="H178" s="225" t="s">
        <v>267</v>
      </c>
      <c r="I178" s="36" t="s">
        <v>267</v>
      </c>
      <c r="J178" s="36" t="s">
        <v>267</v>
      </c>
    </row>
    <row r="179" spans="1:12" ht="15" thickBot="1">
      <c r="A179" s="3"/>
      <c r="B179" s="214"/>
      <c r="C179" s="44" t="s">
        <v>274</v>
      </c>
      <c r="D179" s="45"/>
      <c r="E179" s="215"/>
      <c r="F179" s="216"/>
      <c r="G179" s="216"/>
      <c r="H179" s="217"/>
      <c r="I179" s="217"/>
      <c r="J179" s="217"/>
    </row>
    <row r="180" spans="1:12" ht="15" thickBot="1">
      <c r="A180" s="3"/>
      <c r="B180" s="218" t="s">
        <v>275</v>
      </c>
      <c r="C180" s="21"/>
      <c r="D180" s="48"/>
      <c r="E180" s="219"/>
      <c r="F180" s="226"/>
      <c r="G180" s="226">
        <v>53.240000000000009</v>
      </c>
      <c r="H180" s="227">
        <v>58.564000000000014</v>
      </c>
      <c r="I180" s="79">
        <v>64.420400000000015</v>
      </c>
      <c r="J180" s="79">
        <v>70.862440000000021</v>
      </c>
    </row>
    <row r="181" spans="1:12" ht="15" thickBot="1">
      <c r="A181" s="3"/>
      <c r="B181" s="218" t="s">
        <v>276</v>
      </c>
      <c r="C181" s="40"/>
      <c r="D181" s="228"/>
      <c r="E181" s="219"/>
      <c r="F181" s="226"/>
      <c r="G181" s="226">
        <v>423.50000000000011</v>
      </c>
      <c r="H181" s="227">
        <v>465.85000000000014</v>
      </c>
      <c r="I181" s="79">
        <v>512.43500000000017</v>
      </c>
      <c r="J181" s="79">
        <v>563.67850000000021</v>
      </c>
    </row>
    <row r="182" spans="1:12" ht="15" thickBot="1">
      <c r="A182" s="3"/>
      <c r="B182" s="229" t="s">
        <v>277</v>
      </c>
      <c r="C182" s="74"/>
      <c r="D182" s="63"/>
      <c r="E182" s="230"/>
      <c r="F182" s="226"/>
      <c r="G182" s="226">
        <v>121.00000000000003</v>
      </c>
      <c r="H182" s="227">
        <v>133.10000000000005</v>
      </c>
      <c r="I182" s="79">
        <v>146.41000000000008</v>
      </c>
      <c r="J182" s="79">
        <v>161.0510000000001</v>
      </c>
    </row>
    <row r="183" spans="1:12" ht="15" thickBot="1">
      <c r="A183" s="3"/>
      <c r="B183" s="218" t="s">
        <v>64</v>
      </c>
      <c r="C183" s="21"/>
      <c r="D183" s="22"/>
      <c r="E183" s="231"/>
      <c r="F183" s="232"/>
      <c r="G183" s="232" t="s">
        <v>65</v>
      </c>
      <c r="H183" s="233" t="s">
        <v>65</v>
      </c>
      <c r="I183" s="232" t="s">
        <v>65</v>
      </c>
      <c r="J183" s="232" t="s">
        <v>65</v>
      </c>
    </row>
    <row r="184" spans="1:12" s="149" customFormat="1" ht="15" thickBot="1">
      <c r="A184" s="153"/>
      <c r="B184" s="178" t="s">
        <v>278</v>
      </c>
      <c r="C184" s="958" t="s">
        <v>279</v>
      </c>
      <c r="D184" s="959"/>
      <c r="E184" s="234"/>
      <c r="F184" s="164"/>
      <c r="G184" s="186">
        <v>176.55</v>
      </c>
      <c r="H184" s="235">
        <v>194.20500000000004</v>
      </c>
      <c r="I184" s="161">
        <v>213.62550000000007</v>
      </c>
      <c r="J184" s="161">
        <v>234.9880500000001</v>
      </c>
      <c r="L184" s="13"/>
    </row>
    <row r="185" spans="1:12" s="149" customFormat="1" ht="15" thickBot="1">
      <c r="A185" s="153"/>
      <c r="B185" s="178" t="s">
        <v>280</v>
      </c>
      <c r="C185" s="958" t="s">
        <v>281</v>
      </c>
      <c r="D185" s="959"/>
      <c r="E185" s="234"/>
      <c r="F185" s="164"/>
      <c r="G185" s="186">
        <v>317.79000000000002</v>
      </c>
      <c r="H185" s="235">
        <v>349.56900000000007</v>
      </c>
      <c r="I185" s="161">
        <v>384.52590000000009</v>
      </c>
      <c r="J185" s="161">
        <v>422.97849000000014</v>
      </c>
      <c r="L185" s="13"/>
    </row>
    <row r="186" spans="1:12">
      <c r="L186" s="149"/>
    </row>
    <row r="187" spans="1:12">
      <c r="L187" s="149"/>
    </row>
    <row r="188" spans="1:12">
      <c r="B188" s="298" t="s">
        <v>426</v>
      </c>
      <c r="C188" s="298"/>
    </row>
    <row r="189" spans="1:12">
      <c r="B189" s="298" t="s">
        <v>427</v>
      </c>
      <c r="C189" s="298"/>
    </row>
    <row r="190" spans="1:12">
      <c r="B190" s="298" t="s">
        <v>282</v>
      </c>
      <c r="C190" s="298"/>
    </row>
    <row r="191" spans="1:12">
      <c r="B191" s="299" t="s">
        <v>284</v>
      </c>
      <c r="H191" s="62">
        <v>100</v>
      </c>
    </row>
    <row r="192" spans="1:12">
      <c r="B192" s="108" t="s">
        <v>285</v>
      </c>
      <c r="C192" s="108"/>
      <c r="H192" s="62">
        <v>250</v>
      </c>
    </row>
    <row r="193" spans="2:8">
      <c r="B193" s="62" t="s">
        <v>286</v>
      </c>
      <c r="H193" s="62">
        <v>350</v>
      </c>
    </row>
    <row r="194" spans="2:8">
      <c r="B194" s="62" t="s">
        <v>287</v>
      </c>
      <c r="H194" s="62">
        <v>500</v>
      </c>
    </row>
    <row r="195" spans="2:8">
      <c r="B195" s="62" t="s">
        <v>288</v>
      </c>
      <c r="H195" s="62">
        <v>750</v>
      </c>
    </row>
    <row r="196" spans="2:8">
      <c r="B196" s="62" t="s">
        <v>289</v>
      </c>
      <c r="H196" s="62">
        <v>1000</v>
      </c>
    </row>
    <row r="197" spans="2:8">
      <c r="B197" s="62" t="s">
        <v>290</v>
      </c>
      <c r="H197" s="62">
        <v>5000</v>
      </c>
    </row>
    <row r="198" spans="2:8">
      <c r="B198" s="62" t="s">
        <v>291</v>
      </c>
      <c r="H198" s="62">
        <v>10000</v>
      </c>
    </row>
    <row r="199" spans="2:8">
      <c r="B199" s="62" t="s">
        <v>292</v>
      </c>
    </row>
    <row r="200" spans="2:8">
      <c r="B200" s="108" t="s">
        <v>293</v>
      </c>
    </row>
    <row r="201" spans="2:8">
      <c r="B201" s="62" t="s">
        <v>294</v>
      </c>
      <c r="H201" s="62">
        <v>100</v>
      </c>
    </row>
    <row r="202" spans="2:8">
      <c r="B202" s="62" t="s">
        <v>295</v>
      </c>
      <c r="H202" s="62">
        <v>50</v>
      </c>
    </row>
    <row r="203" spans="2:8">
      <c r="B203" s="108" t="s">
        <v>296</v>
      </c>
    </row>
    <row r="204" spans="2:8">
      <c r="B204" s="62" t="s">
        <v>428</v>
      </c>
    </row>
  </sheetData>
  <mergeCells count="16">
    <mergeCell ref="B155:D155"/>
    <mergeCell ref="E155:J155"/>
    <mergeCell ref="C184:D184"/>
    <mergeCell ref="C185:D185"/>
    <mergeCell ref="B123:D123"/>
    <mergeCell ref="E123:J123"/>
    <mergeCell ref="B153:D153"/>
    <mergeCell ref="E153:J153"/>
    <mergeCell ref="B154:D154"/>
    <mergeCell ref="E154:J154"/>
    <mergeCell ref="B4:D4"/>
    <mergeCell ref="E4:J4"/>
    <mergeCell ref="B49:D49"/>
    <mergeCell ref="E49:J49"/>
    <mergeCell ref="B79:D79"/>
    <mergeCell ref="E79:J79"/>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
  <sheetViews>
    <sheetView workbookViewId="0"/>
  </sheetViews>
  <sheetFormatPr baseColWidth="10" defaultColWidth="8.83203125" defaultRowHeight="15"/>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S135"/>
  <sheetViews>
    <sheetView topLeftCell="L12" workbookViewId="0">
      <selection activeCell="V14" sqref="V14"/>
    </sheetView>
  </sheetViews>
  <sheetFormatPr baseColWidth="10" defaultColWidth="8.83203125" defaultRowHeight="15"/>
  <cols>
    <col min="2" max="2" width="45.83203125" customWidth="1"/>
    <col min="3" max="3" width="32.5" hidden="1" customWidth="1"/>
    <col min="4" max="4" width="0" hidden="1" customWidth="1"/>
    <col min="5" max="5" width="10.5" hidden="1" customWidth="1"/>
    <col min="6" max="6" width="10.33203125" hidden="1" customWidth="1"/>
    <col min="7" max="7" width="15.5" hidden="1" customWidth="1"/>
    <col min="8" max="8" width="16" hidden="1" customWidth="1"/>
    <col min="9" max="9" width="17.6640625" hidden="1" customWidth="1"/>
    <col min="10" max="11" width="14.5" hidden="1" customWidth="1"/>
    <col min="12" max="13" width="14.5" customWidth="1"/>
    <col min="14" max="15" width="13.6640625" style="345" customWidth="1"/>
    <col min="16" max="16" width="13.6640625" style="907" customWidth="1"/>
    <col min="17" max="19" width="18.1640625" style="345" customWidth="1"/>
  </cols>
  <sheetData>
    <row r="1" spans="1:19" ht="45" customHeight="1">
      <c r="A1" s="1028" t="s">
        <v>429</v>
      </c>
      <c r="B1" s="1029"/>
      <c r="C1" s="1029"/>
      <c r="D1" s="1029"/>
      <c r="E1" s="1029"/>
      <c r="F1" s="1029"/>
      <c r="G1" s="1029"/>
      <c r="H1" s="1029"/>
      <c r="I1" s="1029"/>
      <c r="J1" s="1029"/>
      <c r="K1" s="1029"/>
      <c r="L1" s="1030"/>
      <c r="M1" s="345"/>
    </row>
    <row r="2" spans="1:19" ht="32">
      <c r="A2" s="883" t="s">
        <v>430</v>
      </c>
      <c r="B2" s="883" t="s">
        <v>431</v>
      </c>
      <c r="C2" s="883" t="s">
        <v>432</v>
      </c>
      <c r="D2" s="883" t="s">
        <v>433</v>
      </c>
      <c r="E2" s="883" t="s">
        <v>434</v>
      </c>
      <c r="F2" s="883" t="s">
        <v>435</v>
      </c>
      <c r="G2" s="883" t="s">
        <v>436</v>
      </c>
      <c r="H2" s="883" t="s">
        <v>437</v>
      </c>
      <c r="I2" s="883" t="s">
        <v>438</v>
      </c>
      <c r="J2" s="883" t="s">
        <v>439</v>
      </c>
      <c r="K2" s="883" t="s">
        <v>304</v>
      </c>
      <c r="L2" s="883" t="s">
        <v>305</v>
      </c>
      <c r="M2" s="884" t="s">
        <v>306</v>
      </c>
      <c r="N2" s="883" t="s">
        <v>307</v>
      </c>
      <c r="O2" s="883" t="s">
        <v>308</v>
      </c>
      <c r="P2" s="908" t="s">
        <v>309</v>
      </c>
      <c r="Q2" s="885" t="s">
        <v>310</v>
      </c>
      <c r="R2" s="885" t="s">
        <v>1248</v>
      </c>
      <c r="S2" s="885" t="s">
        <v>1251</v>
      </c>
    </row>
    <row r="3" spans="1:19" ht="42" customHeight="1">
      <c r="A3" s="589">
        <v>1</v>
      </c>
      <c r="B3" s="589" t="s">
        <v>440</v>
      </c>
      <c r="C3" s="589" t="s">
        <v>441</v>
      </c>
      <c r="D3" s="589"/>
      <c r="E3" s="597" t="s">
        <v>442</v>
      </c>
      <c r="F3" s="597" t="s">
        <v>442</v>
      </c>
      <c r="G3" s="597" t="s">
        <v>442</v>
      </c>
      <c r="H3" s="597" t="s">
        <v>442</v>
      </c>
      <c r="I3" s="597" t="s">
        <v>442</v>
      </c>
      <c r="J3" s="597" t="s">
        <v>442</v>
      </c>
      <c r="K3" s="597" t="s">
        <v>442</v>
      </c>
      <c r="L3" s="597" t="s">
        <v>442</v>
      </c>
      <c r="M3" s="589" t="s">
        <v>442</v>
      </c>
      <c r="N3" s="589" t="s">
        <v>442</v>
      </c>
      <c r="O3" s="589" t="s">
        <v>442</v>
      </c>
      <c r="P3" s="909" t="s">
        <v>442</v>
      </c>
      <c r="Q3" s="761" t="s">
        <v>442</v>
      </c>
      <c r="R3" s="761" t="s">
        <v>442</v>
      </c>
      <c r="S3" s="761" t="s">
        <v>442</v>
      </c>
    </row>
    <row r="4" spans="1:19" ht="32">
      <c r="A4" s="588">
        <v>2</v>
      </c>
      <c r="B4" s="589" t="s">
        <v>443</v>
      </c>
      <c r="C4" s="589"/>
      <c r="D4" s="589"/>
      <c r="E4" s="589"/>
      <c r="F4" s="589"/>
      <c r="G4" s="589"/>
      <c r="H4" s="589"/>
      <c r="I4" s="589"/>
      <c r="J4" s="589"/>
      <c r="K4" s="589"/>
      <c r="L4" s="589"/>
      <c r="M4" s="761"/>
      <c r="N4" s="761"/>
      <c r="O4" s="761"/>
      <c r="P4" s="910"/>
      <c r="Q4" s="761"/>
      <c r="R4" s="761"/>
      <c r="S4" s="761"/>
    </row>
    <row r="5" spans="1:19" ht="32">
      <c r="A5" s="589"/>
      <c r="B5" s="589" t="s">
        <v>444</v>
      </c>
      <c r="C5" s="588">
        <v>2511</v>
      </c>
      <c r="D5" s="598" t="s">
        <v>445</v>
      </c>
      <c r="E5" s="598" t="s">
        <v>445</v>
      </c>
      <c r="F5" s="598" t="s">
        <v>445</v>
      </c>
      <c r="G5" s="598" t="s">
        <v>445</v>
      </c>
      <c r="H5" s="598" t="s">
        <v>445</v>
      </c>
      <c r="I5" s="598" t="s">
        <v>445</v>
      </c>
      <c r="J5" s="598" t="s">
        <v>445</v>
      </c>
      <c r="K5" s="598" t="s">
        <v>445</v>
      </c>
      <c r="L5" s="598" t="s">
        <v>445</v>
      </c>
      <c r="M5" s="598" t="s">
        <v>445</v>
      </c>
      <c r="N5" s="598" t="s">
        <v>445</v>
      </c>
      <c r="O5" s="598" t="s">
        <v>445</v>
      </c>
      <c r="P5" s="909" t="s">
        <v>445</v>
      </c>
      <c r="Q5" s="859" t="s">
        <v>445</v>
      </c>
      <c r="R5" s="859" t="s">
        <v>445</v>
      </c>
      <c r="S5" s="859" t="s">
        <v>445</v>
      </c>
    </row>
    <row r="6" spans="1:19" ht="32">
      <c r="A6" s="589"/>
      <c r="B6" s="589" t="s">
        <v>446</v>
      </c>
      <c r="C6" s="588" t="s">
        <v>447</v>
      </c>
      <c r="D6" s="598" t="s">
        <v>445</v>
      </c>
      <c r="E6" s="598" t="s">
        <v>445</v>
      </c>
      <c r="F6" s="598" t="s">
        <v>445</v>
      </c>
      <c r="G6" s="598" t="s">
        <v>445</v>
      </c>
      <c r="H6" s="598" t="s">
        <v>445</v>
      </c>
      <c r="I6" s="598" t="s">
        <v>445</v>
      </c>
      <c r="J6" s="598" t="s">
        <v>445</v>
      </c>
      <c r="K6" s="598" t="s">
        <v>445</v>
      </c>
      <c r="L6" s="598" t="s">
        <v>445</v>
      </c>
      <c r="M6" s="598" t="s">
        <v>445</v>
      </c>
      <c r="N6" s="598" t="s">
        <v>445</v>
      </c>
      <c r="O6" s="598" t="s">
        <v>445</v>
      </c>
      <c r="P6" s="909" t="s">
        <v>445</v>
      </c>
      <c r="Q6" s="859" t="s">
        <v>445</v>
      </c>
      <c r="R6" s="859" t="s">
        <v>445</v>
      </c>
      <c r="S6" s="859" t="s">
        <v>445</v>
      </c>
    </row>
    <row r="7" spans="1:19" ht="32">
      <c r="A7" s="589"/>
      <c r="B7" s="589" t="s">
        <v>448</v>
      </c>
      <c r="C7" s="588" t="s">
        <v>449</v>
      </c>
      <c r="D7" s="598" t="s">
        <v>445</v>
      </c>
      <c r="E7" s="598" t="s">
        <v>445</v>
      </c>
      <c r="F7" s="598" t="s">
        <v>445</v>
      </c>
      <c r="G7" s="598" t="s">
        <v>445</v>
      </c>
      <c r="H7" s="598" t="s">
        <v>445</v>
      </c>
      <c r="I7" s="598" t="s">
        <v>445</v>
      </c>
      <c r="J7" s="598" t="s">
        <v>445</v>
      </c>
      <c r="K7" s="598" t="s">
        <v>445</v>
      </c>
      <c r="L7" s="598" t="s">
        <v>445</v>
      </c>
      <c r="M7" s="598" t="s">
        <v>445</v>
      </c>
      <c r="N7" s="598" t="s">
        <v>445</v>
      </c>
      <c r="O7" s="598" t="s">
        <v>445</v>
      </c>
      <c r="P7" s="909" t="s">
        <v>445</v>
      </c>
      <c r="Q7" s="859" t="s">
        <v>445</v>
      </c>
      <c r="R7" s="859" t="s">
        <v>445</v>
      </c>
      <c r="S7" s="859" t="s">
        <v>445</v>
      </c>
    </row>
    <row r="8" spans="1:19" ht="32">
      <c r="A8" s="589"/>
      <c r="B8" s="589" t="s">
        <v>450</v>
      </c>
      <c r="C8" s="588" t="s">
        <v>451</v>
      </c>
      <c r="D8" s="598" t="s">
        <v>445</v>
      </c>
      <c r="E8" s="598" t="s">
        <v>445</v>
      </c>
      <c r="F8" s="598" t="s">
        <v>445</v>
      </c>
      <c r="G8" s="598" t="s">
        <v>445</v>
      </c>
      <c r="H8" s="598" t="s">
        <v>445</v>
      </c>
      <c r="I8" s="598" t="s">
        <v>445</v>
      </c>
      <c r="J8" s="598" t="s">
        <v>445</v>
      </c>
      <c r="K8" s="598" t="s">
        <v>445</v>
      </c>
      <c r="L8" s="598" t="s">
        <v>445</v>
      </c>
      <c r="M8" s="598" t="s">
        <v>445</v>
      </c>
      <c r="N8" s="598" t="s">
        <v>445</v>
      </c>
      <c r="O8" s="598" t="s">
        <v>445</v>
      </c>
      <c r="P8" s="909" t="s">
        <v>445</v>
      </c>
      <c r="Q8" s="859" t="s">
        <v>445</v>
      </c>
      <c r="R8" s="859" t="s">
        <v>445</v>
      </c>
      <c r="S8" s="859" t="s">
        <v>445</v>
      </c>
    </row>
    <row r="9" spans="1:19" ht="32">
      <c r="A9" s="589"/>
      <c r="B9" s="589" t="s">
        <v>452</v>
      </c>
      <c r="C9" s="588" t="s">
        <v>453</v>
      </c>
      <c r="D9" s="598" t="s">
        <v>445</v>
      </c>
      <c r="E9" s="598" t="s">
        <v>445</v>
      </c>
      <c r="F9" s="598" t="s">
        <v>445</v>
      </c>
      <c r="G9" s="598" t="s">
        <v>445</v>
      </c>
      <c r="H9" s="598" t="s">
        <v>445</v>
      </c>
      <c r="I9" s="598" t="s">
        <v>445</v>
      </c>
      <c r="J9" s="598" t="s">
        <v>445</v>
      </c>
      <c r="K9" s="598" t="s">
        <v>445</v>
      </c>
      <c r="L9" s="598" t="s">
        <v>445</v>
      </c>
      <c r="M9" s="598" t="s">
        <v>445</v>
      </c>
      <c r="N9" s="598" t="s">
        <v>445</v>
      </c>
      <c r="O9" s="598" t="s">
        <v>445</v>
      </c>
      <c r="P9" s="909" t="s">
        <v>445</v>
      </c>
      <c r="Q9" s="859" t="s">
        <v>445</v>
      </c>
      <c r="R9" s="859" t="s">
        <v>445</v>
      </c>
      <c r="S9" s="859" t="s">
        <v>445</v>
      </c>
    </row>
    <row r="10" spans="1:19" ht="32">
      <c r="A10" s="589"/>
      <c r="B10" s="589" t="s">
        <v>454</v>
      </c>
      <c r="C10" s="588" t="s">
        <v>453</v>
      </c>
      <c r="D10" s="598" t="s">
        <v>445</v>
      </c>
      <c r="E10" s="598" t="s">
        <v>445</v>
      </c>
      <c r="F10" s="598" t="s">
        <v>445</v>
      </c>
      <c r="G10" s="598" t="s">
        <v>445</v>
      </c>
      <c r="H10" s="598" t="s">
        <v>445</v>
      </c>
      <c r="I10" s="598" t="s">
        <v>445</v>
      </c>
      <c r="J10" s="598" t="s">
        <v>445</v>
      </c>
      <c r="K10" s="598" t="s">
        <v>445</v>
      </c>
      <c r="L10" s="598" t="s">
        <v>445</v>
      </c>
      <c r="M10" s="598" t="s">
        <v>445</v>
      </c>
      <c r="N10" s="598" t="s">
        <v>445</v>
      </c>
      <c r="O10" s="598" t="s">
        <v>445</v>
      </c>
      <c r="P10" s="909" t="s">
        <v>445</v>
      </c>
      <c r="Q10" s="859" t="s">
        <v>445</v>
      </c>
      <c r="R10" s="859" t="s">
        <v>445</v>
      </c>
      <c r="S10" s="859" t="s">
        <v>445</v>
      </c>
    </row>
    <row r="11" spans="1:19" ht="32">
      <c r="A11" s="589"/>
      <c r="B11" s="589" t="s">
        <v>455</v>
      </c>
      <c r="C11" s="588" t="s">
        <v>453</v>
      </c>
      <c r="D11" s="598" t="s">
        <v>445</v>
      </c>
      <c r="E11" s="598" t="s">
        <v>445</v>
      </c>
      <c r="F11" s="598" t="s">
        <v>445</v>
      </c>
      <c r="G11" s="598" t="s">
        <v>445</v>
      </c>
      <c r="H11" s="598" t="s">
        <v>445</v>
      </c>
      <c r="I11" s="598" t="s">
        <v>445</v>
      </c>
      <c r="J11" s="598" t="s">
        <v>445</v>
      </c>
      <c r="K11" s="598" t="s">
        <v>445</v>
      </c>
      <c r="L11" s="598" t="s">
        <v>445</v>
      </c>
      <c r="M11" s="598" t="s">
        <v>445</v>
      </c>
      <c r="N11" s="598" t="s">
        <v>445</v>
      </c>
      <c r="O11" s="598" t="s">
        <v>445</v>
      </c>
      <c r="P11" s="909" t="s">
        <v>445</v>
      </c>
      <c r="Q11" s="859" t="s">
        <v>445</v>
      </c>
      <c r="R11" s="859" t="s">
        <v>445</v>
      </c>
      <c r="S11" s="859" t="s">
        <v>445</v>
      </c>
    </row>
    <row r="12" spans="1:19" ht="32">
      <c r="A12" s="589"/>
      <c r="B12" s="589" t="s">
        <v>456</v>
      </c>
      <c r="C12" s="588" t="s">
        <v>453</v>
      </c>
      <c r="D12" s="598" t="s">
        <v>445</v>
      </c>
      <c r="E12" s="598" t="s">
        <v>445</v>
      </c>
      <c r="F12" s="598" t="s">
        <v>445</v>
      </c>
      <c r="G12" s="598" t="s">
        <v>445</v>
      </c>
      <c r="H12" s="598" t="s">
        <v>445</v>
      </c>
      <c r="I12" s="598" t="s">
        <v>445</v>
      </c>
      <c r="J12" s="598" t="s">
        <v>445</v>
      </c>
      <c r="K12" s="598" t="s">
        <v>445</v>
      </c>
      <c r="L12" s="598" t="s">
        <v>445</v>
      </c>
      <c r="M12" s="598" t="s">
        <v>445</v>
      </c>
      <c r="N12" s="598" t="s">
        <v>445</v>
      </c>
      <c r="O12" s="598" t="s">
        <v>445</v>
      </c>
      <c r="P12" s="909" t="s">
        <v>445</v>
      </c>
      <c r="Q12" s="859" t="s">
        <v>445</v>
      </c>
      <c r="R12" s="859" t="s">
        <v>445</v>
      </c>
      <c r="S12" s="859" t="s">
        <v>445</v>
      </c>
    </row>
    <row r="13" spans="1:19" ht="64">
      <c r="A13" s="589"/>
      <c r="B13" s="589" t="s">
        <v>457</v>
      </c>
      <c r="C13" s="588" t="s">
        <v>458</v>
      </c>
      <c r="D13" s="589"/>
      <c r="E13" s="588" t="s">
        <v>458</v>
      </c>
      <c r="F13" s="588" t="s">
        <v>458</v>
      </c>
      <c r="G13" s="588" t="s">
        <v>458</v>
      </c>
      <c r="H13" s="588" t="s">
        <v>458</v>
      </c>
      <c r="I13" s="588" t="s">
        <v>458</v>
      </c>
      <c r="J13" s="588" t="s">
        <v>458</v>
      </c>
      <c r="K13" s="588" t="s">
        <v>458</v>
      </c>
      <c r="L13" s="588" t="s">
        <v>458</v>
      </c>
      <c r="M13" s="757" t="s">
        <v>458</v>
      </c>
      <c r="N13" s="588" t="s">
        <v>459</v>
      </c>
      <c r="O13" s="588" t="s">
        <v>460</v>
      </c>
      <c r="P13" s="911" t="s">
        <v>461</v>
      </c>
      <c r="Q13" s="859" t="s">
        <v>461</v>
      </c>
      <c r="R13" s="859" t="s">
        <v>461</v>
      </c>
      <c r="S13" s="859" t="s">
        <v>461</v>
      </c>
    </row>
    <row r="14" spans="1:19" ht="30" customHeight="1">
      <c r="A14" s="1027">
        <v>3</v>
      </c>
      <c r="B14" s="589" t="s">
        <v>462</v>
      </c>
      <c r="C14" s="589"/>
      <c r="D14" s="589" t="s">
        <v>463</v>
      </c>
      <c r="E14" s="589"/>
      <c r="F14" s="589"/>
      <c r="G14" s="589"/>
      <c r="H14" s="589"/>
      <c r="I14" s="589"/>
      <c r="J14" s="589"/>
      <c r="K14" s="589"/>
      <c r="L14" s="589"/>
      <c r="M14" s="756"/>
      <c r="N14" s="761"/>
      <c r="O14" s="761"/>
      <c r="P14" s="910"/>
      <c r="Q14" s="761"/>
      <c r="R14" s="761"/>
      <c r="S14" s="761"/>
    </row>
    <row r="15" spans="1:19" ht="80">
      <c r="A15" s="1027"/>
      <c r="B15" s="589" t="s">
        <v>464</v>
      </c>
      <c r="C15" s="589"/>
      <c r="D15" s="589"/>
      <c r="E15" s="589" t="s">
        <v>465</v>
      </c>
      <c r="F15" s="589" t="s">
        <v>466</v>
      </c>
      <c r="G15" s="589">
        <v>172.48</v>
      </c>
      <c r="H15" s="589">
        <v>186.28</v>
      </c>
      <c r="I15" s="617">
        <f>H15*5.3%+H15</f>
        <v>196.15284</v>
      </c>
      <c r="J15" s="617">
        <f t="shared" ref="J15" si="0">I15*5.3%+I15</f>
        <v>206.54894052</v>
      </c>
      <c r="K15" s="617">
        <f t="shared" ref="K15:K18" si="1">J15*5.4%+J15</f>
        <v>217.70258330807999</v>
      </c>
      <c r="L15" s="617">
        <f t="shared" ref="L15:L18" si="2">K15*10%+K15</f>
        <v>239.47284163888799</v>
      </c>
      <c r="M15" s="758">
        <f>L15*5%+L15</f>
        <v>251.44648372083239</v>
      </c>
      <c r="N15" s="761">
        <f t="shared" ref="N15:N22" si="3">M15+M15*5.3%</f>
        <v>264.77314735803651</v>
      </c>
      <c r="O15" s="761">
        <f t="shared" ref="O15:O22" si="4">N15+N15*4.9%</f>
        <v>277.74703157858028</v>
      </c>
      <c r="P15" s="910">
        <f t="shared" ref="P15:P22" si="5">O15+O15*4.4%</f>
        <v>289.96790096803784</v>
      </c>
      <c r="Q15" s="761">
        <f t="shared" ref="Q15:Q22" si="6">P15+P15*3.7%</f>
        <v>300.69671330385523</v>
      </c>
      <c r="R15" s="761">
        <f t="shared" ref="R15:R22" si="7">Q15+Q15*3.3%</f>
        <v>310.61970484288247</v>
      </c>
      <c r="S15" s="761">
        <f t="shared" ref="S15:S22" si="8">R15+R15*3.2%</f>
        <v>320.55953539785469</v>
      </c>
    </row>
    <row r="16" spans="1:19" ht="16">
      <c r="A16" s="589"/>
      <c r="B16" s="589" t="s">
        <v>467</v>
      </c>
      <c r="C16" s="588" t="s">
        <v>468</v>
      </c>
      <c r="D16" s="590" t="s">
        <v>469</v>
      </c>
      <c r="E16" s="590" t="s">
        <v>470</v>
      </c>
      <c r="F16" s="588" t="s">
        <v>471</v>
      </c>
      <c r="G16" s="588">
        <f>215</f>
        <v>215</v>
      </c>
      <c r="H16" s="588">
        <v>232.2</v>
      </c>
      <c r="I16" s="592">
        <f>H16*5.3%+H16</f>
        <v>244.50659999999999</v>
      </c>
      <c r="J16" s="592">
        <f t="shared" ref="J16" si="9">I16*5.3%+I16</f>
        <v>257.46544979999999</v>
      </c>
      <c r="K16" s="592">
        <f t="shared" si="1"/>
        <v>271.3685840892</v>
      </c>
      <c r="L16" s="592">
        <f t="shared" si="2"/>
        <v>298.50544249811998</v>
      </c>
      <c r="M16" s="759">
        <f>L16*5%+L16</f>
        <v>313.43071462302595</v>
      </c>
      <c r="N16" s="761">
        <f t="shared" si="3"/>
        <v>330.04254249804632</v>
      </c>
      <c r="O16" s="761">
        <f t="shared" si="4"/>
        <v>346.21462708045061</v>
      </c>
      <c r="P16" s="910">
        <f t="shared" si="5"/>
        <v>361.44807067199042</v>
      </c>
      <c r="Q16" s="761">
        <f t="shared" si="6"/>
        <v>374.8216492868541</v>
      </c>
      <c r="R16" s="761">
        <f t="shared" si="7"/>
        <v>387.19076371332028</v>
      </c>
      <c r="S16" s="761">
        <f t="shared" si="8"/>
        <v>399.58086815214654</v>
      </c>
    </row>
    <row r="17" spans="1:19" ht="16">
      <c r="A17" s="588">
        <v>4</v>
      </c>
      <c r="B17" s="589" t="s">
        <v>472</v>
      </c>
      <c r="C17" s="588" t="s">
        <v>473</v>
      </c>
      <c r="D17" s="590" t="s">
        <v>474</v>
      </c>
      <c r="E17" s="590" t="s">
        <v>475</v>
      </c>
      <c r="F17" s="588" t="s">
        <v>476</v>
      </c>
      <c r="G17" s="588" t="s">
        <v>477</v>
      </c>
      <c r="H17" s="592">
        <v>1428.8832</v>
      </c>
      <c r="I17" s="592">
        <f t="shared" ref="I17:J17" si="10">H17*5.3%+H17</f>
        <v>1504.6140095999999</v>
      </c>
      <c r="J17" s="592">
        <f t="shared" si="10"/>
        <v>1584.3585521087998</v>
      </c>
      <c r="K17" s="592">
        <f t="shared" si="1"/>
        <v>1669.913913922675</v>
      </c>
      <c r="L17" s="592">
        <f t="shared" si="2"/>
        <v>1836.9053053149426</v>
      </c>
      <c r="M17" s="759">
        <f>L17*5%+L17</f>
        <v>1928.7505705806898</v>
      </c>
      <c r="N17" s="761">
        <f t="shared" si="3"/>
        <v>2030.9743508214663</v>
      </c>
      <c r="O17" s="761">
        <f t="shared" si="4"/>
        <v>2130.4920940117181</v>
      </c>
      <c r="P17" s="910">
        <f t="shared" si="5"/>
        <v>2224.2337461482339</v>
      </c>
      <c r="Q17" s="761">
        <f t="shared" si="6"/>
        <v>2306.5303947557186</v>
      </c>
      <c r="R17" s="761">
        <f t="shared" si="7"/>
        <v>2382.6458977826574</v>
      </c>
      <c r="S17" s="761">
        <f t="shared" si="8"/>
        <v>2458.8905665117022</v>
      </c>
    </row>
    <row r="18" spans="1:19" ht="16">
      <c r="A18" s="588">
        <v>5</v>
      </c>
      <c r="B18" s="589" t="s">
        <v>478</v>
      </c>
      <c r="C18" s="588" t="s">
        <v>479</v>
      </c>
      <c r="D18" s="590" t="s">
        <v>480</v>
      </c>
      <c r="E18" s="590" t="s">
        <v>481</v>
      </c>
      <c r="F18" s="588" t="s">
        <v>482</v>
      </c>
      <c r="G18" s="588" t="s">
        <v>483</v>
      </c>
      <c r="H18" s="592">
        <v>2644.7770079999991</v>
      </c>
      <c r="I18" s="592">
        <f t="shared" ref="I18:J18" si="11">H18*5.3%+H18</f>
        <v>2784.9501894239993</v>
      </c>
      <c r="J18" s="592">
        <f t="shared" si="11"/>
        <v>2932.5525494634712</v>
      </c>
      <c r="K18" s="592">
        <f t="shared" si="1"/>
        <v>3090.9103871344987</v>
      </c>
      <c r="L18" s="592">
        <f t="shared" si="2"/>
        <v>3400.0014258479487</v>
      </c>
      <c r="M18" s="759">
        <f>L18*5%+L18</f>
        <v>3570.0014971403461</v>
      </c>
      <c r="N18" s="761">
        <f t="shared" si="3"/>
        <v>3759.2115764887844</v>
      </c>
      <c r="O18" s="761">
        <f t="shared" si="4"/>
        <v>3943.4129437367351</v>
      </c>
      <c r="P18" s="910">
        <f t="shared" si="5"/>
        <v>4116.9231132611512</v>
      </c>
      <c r="Q18" s="761">
        <f t="shared" si="6"/>
        <v>4269.2492684518138</v>
      </c>
      <c r="R18" s="761">
        <f t="shared" si="7"/>
        <v>4410.1344943107233</v>
      </c>
      <c r="S18" s="761">
        <f t="shared" si="8"/>
        <v>4551.2587981286661</v>
      </c>
    </row>
    <row r="19" spans="1:19" ht="16">
      <c r="A19" s="588">
        <v>6</v>
      </c>
      <c r="B19" s="589" t="s">
        <v>484</v>
      </c>
      <c r="C19" s="588"/>
      <c r="D19" s="589"/>
      <c r="E19" s="589"/>
      <c r="F19" s="588"/>
      <c r="G19" s="588"/>
      <c r="H19" s="588"/>
      <c r="I19" s="592"/>
      <c r="J19" s="592"/>
      <c r="K19" s="592"/>
      <c r="L19" s="592"/>
      <c r="M19" s="759"/>
      <c r="N19" s="761">
        <f t="shared" si="3"/>
        <v>0</v>
      </c>
      <c r="O19" s="761">
        <f t="shared" si="4"/>
        <v>0</v>
      </c>
      <c r="P19" s="910">
        <f t="shared" si="5"/>
        <v>0</v>
      </c>
      <c r="Q19" s="761">
        <f t="shared" si="6"/>
        <v>0</v>
      </c>
      <c r="R19" s="761">
        <f t="shared" si="7"/>
        <v>0</v>
      </c>
      <c r="S19" s="761">
        <f t="shared" si="8"/>
        <v>0</v>
      </c>
    </row>
    <row r="20" spans="1:19" ht="32">
      <c r="A20" s="589"/>
      <c r="B20" s="589" t="s">
        <v>485</v>
      </c>
      <c r="C20" s="588"/>
      <c r="D20" s="590" t="s">
        <v>486</v>
      </c>
      <c r="E20" s="590" t="s">
        <v>487</v>
      </c>
      <c r="F20" s="588" t="s">
        <v>488</v>
      </c>
      <c r="G20" s="588" t="s">
        <v>489</v>
      </c>
      <c r="H20" s="592">
        <v>724.60267199999998</v>
      </c>
      <c r="I20" s="592">
        <f t="shared" ref="I20:J20" si="12">H20*5.3%+H20</f>
        <v>763.00661361599998</v>
      </c>
      <c r="J20" s="592">
        <f t="shared" si="12"/>
        <v>803.44596413764793</v>
      </c>
      <c r="K20" s="592">
        <f t="shared" ref="K20:K22" si="13">J20*5.4%+J20</f>
        <v>846.83204620108097</v>
      </c>
      <c r="L20" s="592">
        <f t="shared" ref="L20:L22" si="14">K20*10%+K20</f>
        <v>931.51525082118906</v>
      </c>
      <c r="M20" s="759">
        <f>L20*5%+L20</f>
        <v>978.09101336224853</v>
      </c>
      <c r="N20" s="761">
        <f t="shared" si="3"/>
        <v>1029.9298370704478</v>
      </c>
      <c r="O20" s="761">
        <f t="shared" si="4"/>
        <v>1080.3963990868997</v>
      </c>
      <c r="P20" s="910">
        <f t="shared" si="5"/>
        <v>1127.9338406467232</v>
      </c>
      <c r="Q20" s="761">
        <f t="shared" si="6"/>
        <v>1169.667392750652</v>
      </c>
      <c r="R20" s="761">
        <f t="shared" si="7"/>
        <v>1208.2664167114235</v>
      </c>
      <c r="S20" s="761">
        <f t="shared" si="8"/>
        <v>1246.9309420461891</v>
      </c>
    </row>
    <row r="21" spans="1:19" ht="16">
      <c r="A21" s="589"/>
      <c r="B21" s="589" t="s">
        <v>490</v>
      </c>
      <c r="C21" s="588" t="s">
        <v>491</v>
      </c>
      <c r="D21" s="590" t="s">
        <v>492</v>
      </c>
      <c r="E21" s="590" t="s">
        <v>493</v>
      </c>
      <c r="F21" s="588" t="s">
        <v>494</v>
      </c>
      <c r="G21" s="588" t="s">
        <v>495</v>
      </c>
      <c r="H21" s="588">
        <v>823.77</v>
      </c>
      <c r="I21" s="592">
        <f t="shared" ref="I21:J21" si="15">H21*5.3%+H21</f>
        <v>867.42980999999997</v>
      </c>
      <c r="J21" s="592">
        <f t="shared" si="15"/>
        <v>913.40358992999995</v>
      </c>
      <c r="K21" s="592">
        <f t="shared" si="13"/>
        <v>962.72738378622</v>
      </c>
      <c r="L21" s="592">
        <f t="shared" si="14"/>
        <v>1059.000122164842</v>
      </c>
      <c r="M21" s="759">
        <f>L21*5%+L21</f>
        <v>1111.9501282730841</v>
      </c>
      <c r="N21" s="761">
        <f t="shared" si="3"/>
        <v>1170.8834850715575</v>
      </c>
      <c r="O21" s="761">
        <f t="shared" si="4"/>
        <v>1228.2567758400639</v>
      </c>
      <c r="P21" s="910">
        <f t="shared" si="5"/>
        <v>1282.3000739770268</v>
      </c>
      <c r="Q21" s="761">
        <f t="shared" si="6"/>
        <v>1329.7451767141768</v>
      </c>
      <c r="R21" s="761">
        <f t="shared" si="7"/>
        <v>1373.6267675457445</v>
      </c>
      <c r="S21" s="761">
        <f t="shared" si="8"/>
        <v>1417.5828241072084</v>
      </c>
    </row>
    <row r="22" spans="1:19" ht="32">
      <c r="A22" s="589"/>
      <c r="B22" s="589" t="s">
        <v>496</v>
      </c>
      <c r="C22" s="588">
        <v>463</v>
      </c>
      <c r="D22" s="590" t="s">
        <v>497</v>
      </c>
      <c r="E22" s="590" t="s">
        <v>498</v>
      </c>
      <c r="F22" s="588" t="s">
        <v>499</v>
      </c>
      <c r="G22" s="588">
        <v>778</v>
      </c>
      <c r="H22" s="592">
        <v>907.45920000000001</v>
      </c>
      <c r="I22" s="592">
        <f t="shared" ref="I22:J22" si="16">H22*5.3%+H22</f>
        <v>955.5545376</v>
      </c>
      <c r="J22" s="592">
        <f t="shared" si="16"/>
        <v>1006.1989280928</v>
      </c>
      <c r="K22" s="592">
        <f t="shared" si="13"/>
        <v>1060.5336702098111</v>
      </c>
      <c r="L22" s="592">
        <f t="shared" si="14"/>
        <v>1166.5870372307922</v>
      </c>
      <c r="M22" s="759">
        <f>L22*5%+L22</f>
        <v>1224.9163890923319</v>
      </c>
      <c r="N22" s="761">
        <f t="shared" si="3"/>
        <v>1289.8369577142255</v>
      </c>
      <c r="O22" s="761">
        <f t="shared" si="4"/>
        <v>1353.0389686422225</v>
      </c>
      <c r="P22" s="910">
        <f t="shared" si="5"/>
        <v>1412.5726832624803</v>
      </c>
      <c r="Q22" s="761">
        <f t="shared" si="6"/>
        <v>1464.8378725431921</v>
      </c>
      <c r="R22" s="761">
        <f t="shared" si="7"/>
        <v>1513.1775223371176</v>
      </c>
      <c r="S22" s="761">
        <f t="shared" si="8"/>
        <v>1561.5992030519053</v>
      </c>
    </row>
    <row r="23" spans="1:19" ht="64">
      <c r="A23" s="589"/>
      <c r="B23" s="589" t="s">
        <v>500</v>
      </c>
      <c r="C23" s="588" t="s">
        <v>501</v>
      </c>
      <c r="D23" s="589" t="s">
        <v>501</v>
      </c>
      <c r="E23" s="589" t="s">
        <v>501</v>
      </c>
      <c r="F23" s="588" t="s">
        <v>501</v>
      </c>
      <c r="G23" s="588" t="s">
        <v>501</v>
      </c>
      <c r="H23" s="588" t="s">
        <v>501</v>
      </c>
      <c r="I23" s="588" t="s">
        <v>501</v>
      </c>
      <c r="J23" s="588" t="s">
        <v>501</v>
      </c>
      <c r="K23" s="588" t="s">
        <v>501</v>
      </c>
      <c r="L23" s="588" t="s">
        <v>501</v>
      </c>
      <c r="M23" s="757" t="s">
        <v>501</v>
      </c>
      <c r="N23" s="588" t="s">
        <v>501</v>
      </c>
      <c r="O23" s="588" t="s">
        <v>501</v>
      </c>
      <c r="P23" s="911" t="s">
        <v>501</v>
      </c>
      <c r="Q23" s="761" t="s">
        <v>501</v>
      </c>
      <c r="R23" s="761" t="s">
        <v>501</v>
      </c>
      <c r="S23" s="761" t="s">
        <v>501</v>
      </c>
    </row>
    <row r="24" spans="1:19" ht="48">
      <c r="A24" s="589"/>
      <c r="B24" s="589" t="s">
        <v>502</v>
      </c>
      <c r="C24" s="588" t="s">
        <v>501</v>
      </c>
      <c r="D24" s="589" t="s">
        <v>501</v>
      </c>
      <c r="E24" s="589" t="s">
        <v>501</v>
      </c>
      <c r="F24" s="588" t="s">
        <v>501</v>
      </c>
      <c r="G24" s="588" t="s">
        <v>501</v>
      </c>
      <c r="H24" s="588" t="s">
        <v>501</v>
      </c>
      <c r="I24" s="588" t="s">
        <v>501</v>
      </c>
      <c r="J24" s="588" t="s">
        <v>501</v>
      </c>
      <c r="K24" s="588" t="s">
        <v>501</v>
      </c>
      <c r="L24" s="588" t="s">
        <v>501</v>
      </c>
      <c r="M24" s="757" t="s">
        <v>501</v>
      </c>
      <c r="N24" s="588" t="s">
        <v>501</v>
      </c>
      <c r="O24" s="588" t="s">
        <v>501</v>
      </c>
      <c r="P24" s="911" t="s">
        <v>501</v>
      </c>
      <c r="Q24" s="761" t="s">
        <v>501</v>
      </c>
      <c r="R24" s="761" t="s">
        <v>501</v>
      </c>
      <c r="S24" s="761" t="s">
        <v>501</v>
      </c>
    </row>
    <row r="25" spans="1:19" ht="32">
      <c r="A25" s="588">
        <v>7</v>
      </c>
      <c r="B25" s="589" t="s">
        <v>503</v>
      </c>
      <c r="C25" s="588" t="s">
        <v>501</v>
      </c>
      <c r="D25" s="589" t="s">
        <v>501</v>
      </c>
      <c r="E25" s="589" t="s">
        <v>501</v>
      </c>
      <c r="F25" s="588" t="s">
        <v>501</v>
      </c>
      <c r="G25" s="588" t="s">
        <v>501</v>
      </c>
      <c r="H25" s="588" t="s">
        <v>501</v>
      </c>
      <c r="I25" s="588" t="s">
        <v>501</v>
      </c>
      <c r="J25" s="588" t="s">
        <v>501</v>
      </c>
      <c r="K25" s="588" t="s">
        <v>501</v>
      </c>
      <c r="L25" s="588" t="s">
        <v>501</v>
      </c>
      <c r="M25" s="757" t="s">
        <v>501</v>
      </c>
      <c r="N25" s="588" t="s">
        <v>501</v>
      </c>
      <c r="O25" s="588" t="s">
        <v>501</v>
      </c>
      <c r="P25" s="911" t="s">
        <v>501</v>
      </c>
      <c r="Q25" s="761" t="s">
        <v>501</v>
      </c>
      <c r="R25" s="761" t="s">
        <v>501</v>
      </c>
      <c r="S25" s="761" t="s">
        <v>501</v>
      </c>
    </row>
    <row r="26" spans="1:19" ht="16">
      <c r="A26" s="588">
        <v>8</v>
      </c>
      <c r="B26" s="589" t="s">
        <v>504</v>
      </c>
      <c r="C26" s="588"/>
      <c r="D26" s="589"/>
      <c r="E26" s="589"/>
      <c r="F26" s="588"/>
      <c r="G26" s="588"/>
      <c r="H26" s="588"/>
      <c r="I26" s="588"/>
      <c r="J26" s="588"/>
      <c r="K26" s="588"/>
      <c r="L26" s="588"/>
      <c r="M26" s="757" t="s">
        <v>501</v>
      </c>
      <c r="N26" s="588" t="s">
        <v>501</v>
      </c>
      <c r="O26" s="588" t="s">
        <v>501</v>
      </c>
      <c r="P26" s="911" t="s">
        <v>501</v>
      </c>
      <c r="Q26" s="761" t="s">
        <v>501</v>
      </c>
      <c r="R26" s="761" t="s">
        <v>501</v>
      </c>
      <c r="S26" s="761" t="s">
        <v>501</v>
      </c>
    </row>
    <row r="27" spans="1:19" ht="16">
      <c r="A27" s="589"/>
      <c r="B27" s="591" t="s">
        <v>505</v>
      </c>
      <c r="C27" s="588" t="s">
        <v>501</v>
      </c>
      <c r="D27" s="589" t="s">
        <v>501</v>
      </c>
      <c r="E27" s="589" t="s">
        <v>501</v>
      </c>
      <c r="F27" s="588" t="s">
        <v>501</v>
      </c>
      <c r="G27" s="588" t="s">
        <v>501</v>
      </c>
      <c r="H27" s="588" t="s">
        <v>501</v>
      </c>
      <c r="I27" s="588" t="s">
        <v>501</v>
      </c>
      <c r="J27" s="588" t="s">
        <v>501</v>
      </c>
      <c r="K27" s="588" t="s">
        <v>501</v>
      </c>
      <c r="L27" s="588" t="s">
        <v>501</v>
      </c>
      <c r="M27" s="757" t="s">
        <v>501</v>
      </c>
      <c r="N27" s="588" t="s">
        <v>501</v>
      </c>
      <c r="O27" s="588" t="s">
        <v>501</v>
      </c>
      <c r="P27" s="911" t="s">
        <v>501</v>
      </c>
      <c r="Q27" s="761" t="s">
        <v>501</v>
      </c>
      <c r="R27" s="761" t="s">
        <v>501</v>
      </c>
      <c r="S27" s="761" t="s">
        <v>501</v>
      </c>
    </row>
    <row r="28" spans="1:19" ht="16">
      <c r="A28" s="589"/>
      <c r="B28" s="591" t="s">
        <v>506</v>
      </c>
      <c r="C28" s="588" t="s">
        <v>501</v>
      </c>
      <c r="D28" s="589" t="s">
        <v>501</v>
      </c>
      <c r="E28" s="589" t="s">
        <v>501</v>
      </c>
      <c r="F28" s="588" t="s">
        <v>501</v>
      </c>
      <c r="G28" s="588" t="s">
        <v>501</v>
      </c>
      <c r="H28" s="588" t="s">
        <v>501</v>
      </c>
      <c r="I28" s="588" t="s">
        <v>501</v>
      </c>
      <c r="J28" s="588" t="s">
        <v>501</v>
      </c>
      <c r="K28" s="588" t="s">
        <v>501</v>
      </c>
      <c r="L28" s="588" t="s">
        <v>501</v>
      </c>
      <c r="M28" s="757" t="s">
        <v>501</v>
      </c>
      <c r="N28" s="588" t="s">
        <v>501</v>
      </c>
      <c r="O28" s="588" t="s">
        <v>501</v>
      </c>
      <c r="P28" s="911" t="s">
        <v>501</v>
      </c>
      <c r="Q28" s="761" t="s">
        <v>501</v>
      </c>
      <c r="R28" s="761" t="s">
        <v>501</v>
      </c>
      <c r="S28" s="761" t="s">
        <v>501</v>
      </c>
    </row>
    <row r="29" spans="1:19" ht="16">
      <c r="A29" s="588">
        <v>9</v>
      </c>
      <c r="B29" s="589" t="s">
        <v>507</v>
      </c>
      <c r="C29" s="588" t="s">
        <v>501</v>
      </c>
      <c r="D29" s="589" t="s">
        <v>501</v>
      </c>
      <c r="E29" s="589" t="s">
        <v>501</v>
      </c>
      <c r="F29" s="588" t="s">
        <v>501</v>
      </c>
      <c r="G29" s="588" t="s">
        <v>501</v>
      </c>
      <c r="H29" s="588" t="s">
        <v>501</v>
      </c>
      <c r="I29" s="588" t="s">
        <v>501</v>
      </c>
      <c r="J29" s="588" t="s">
        <v>501</v>
      </c>
      <c r="K29" s="588" t="s">
        <v>501</v>
      </c>
      <c r="L29" s="588" t="s">
        <v>501</v>
      </c>
      <c r="M29" s="757" t="s">
        <v>501</v>
      </c>
      <c r="N29" s="588" t="s">
        <v>501</v>
      </c>
      <c r="O29" s="588" t="s">
        <v>501</v>
      </c>
      <c r="P29" s="911" t="s">
        <v>501</v>
      </c>
      <c r="Q29" s="761" t="s">
        <v>501</v>
      </c>
      <c r="R29" s="761" t="s">
        <v>501</v>
      </c>
      <c r="S29" s="761" t="s">
        <v>501</v>
      </c>
    </row>
    <row r="30" spans="1:19" ht="16">
      <c r="A30" s="588">
        <v>10</v>
      </c>
      <c r="B30" s="589" t="s">
        <v>508</v>
      </c>
      <c r="C30" s="588">
        <v>399</v>
      </c>
      <c r="D30" s="590" t="s">
        <v>509</v>
      </c>
      <c r="E30" s="590" t="s">
        <v>510</v>
      </c>
      <c r="F30" s="588" t="s">
        <v>511</v>
      </c>
      <c r="G30" s="588" t="s">
        <v>512</v>
      </c>
      <c r="H30" s="592">
        <v>782.02454399999999</v>
      </c>
      <c r="I30" s="592">
        <f>H30*5.3%+H30</f>
        <v>823.47184483199999</v>
      </c>
      <c r="J30" s="592">
        <f t="shared" ref="J30" si="17">I30*5.3%+I30</f>
        <v>867.11585260809602</v>
      </c>
      <c r="K30" s="592">
        <f>J30*5.4%+J30</f>
        <v>913.94010864893323</v>
      </c>
      <c r="L30" s="592">
        <f>K30*10%+K30</f>
        <v>1005.3341195138265</v>
      </c>
      <c r="M30" s="759">
        <f>L30*5%+L30</f>
        <v>1055.6008254895178</v>
      </c>
      <c r="N30" s="761">
        <f>M30+M30*5.3%</f>
        <v>1111.5476692404623</v>
      </c>
      <c r="O30" s="761">
        <f>N30+N30*4.9%</f>
        <v>1166.0135050332449</v>
      </c>
      <c r="P30" s="910">
        <f>O30+O30*4.4%</f>
        <v>1217.3180992547077</v>
      </c>
      <c r="Q30" s="761">
        <f>P30+P30*3.7%</f>
        <v>1262.3588689271319</v>
      </c>
      <c r="R30" s="761">
        <f>Q30+Q30*3.3%</f>
        <v>1304.0167116017271</v>
      </c>
      <c r="S30" s="761">
        <f>R30+R30*3.2%</f>
        <v>1345.7452463729824</v>
      </c>
    </row>
    <row r="31" spans="1:19" ht="16">
      <c r="A31" s="588">
        <v>11</v>
      </c>
      <c r="B31" s="589" t="s">
        <v>513</v>
      </c>
      <c r="C31" s="588" t="s">
        <v>501</v>
      </c>
      <c r="D31" s="589" t="s">
        <v>501</v>
      </c>
      <c r="E31" s="589" t="s">
        <v>501</v>
      </c>
      <c r="F31" s="588" t="s">
        <v>501</v>
      </c>
      <c r="G31" s="588" t="s">
        <v>501</v>
      </c>
      <c r="H31" s="588" t="s">
        <v>501</v>
      </c>
      <c r="I31" s="588" t="s">
        <v>501</v>
      </c>
      <c r="J31" s="588" t="s">
        <v>501</v>
      </c>
      <c r="K31" s="588" t="s">
        <v>501</v>
      </c>
      <c r="L31" s="588" t="s">
        <v>501</v>
      </c>
      <c r="M31" s="757" t="s">
        <v>501</v>
      </c>
      <c r="N31" s="588" t="s">
        <v>501</v>
      </c>
      <c r="O31" s="588" t="s">
        <v>501</v>
      </c>
      <c r="P31" s="911" t="s">
        <v>501</v>
      </c>
      <c r="Q31" s="761" t="s">
        <v>501</v>
      </c>
      <c r="R31" s="761" t="s">
        <v>501</v>
      </c>
      <c r="S31" s="761" t="s">
        <v>501</v>
      </c>
    </row>
    <row r="32" spans="1:19" ht="16">
      <c r="A32" s="588">
        <v>12</v>
      </c>
      <c r="B32" s="589" t="s">
        <v>514</v>
      </c>
      <c r="C32" s="588"/>
      <c r="D32" s="588"/>
      <c r="E32" s="588"/>
      <c r="F32" s="588"/>
      <c r="G32" s="588"/>
      <c r="H32" s="588"/>
      <c r="I32" s="592"/>
      <c r="J32" s="592"/>
      <c r="K32" s="592"/>
      <c r="L32" s="592"/>
      <c r="M32" s="759"/>
      <c r="N32" s="761"/>
      <c r="O32" s="761"/>
      <c r="P32" s="910"/>
      <c r="Q32" s="761"/>
      <c r="R32" s="761"/>
      <c r="S32" s="761"/>
    </row>
    <row r="33" spans="1:19" ht="16">
      <c r="A33" s="588"/>
      <c r="B33" s="593" t="s">
        <v>515</v>
      </c>
      <c r="C33" s="588" t="s">
        <v>516</v>
      </c>
      <c r="D33" s="588" t="s">
        <v>517</v>
      </c>
      <c r="E33" s="588" t="s">
        <v>518</v>
      </c>
      <c r="F33" s="588" t="s">
        <v>519</v>
      </c>
      <c r="G33" s="588" t="s">
        <v>520</v>
      </c>
      <c r="H33" s="594">
        <v>483.91603199999997</v>
      </c>
      <c r="I33" s="592">
        <f t="shared" ref="I33:J33" si="18">H33*5.3%+H33</f>
        <v>509.56358169599997</v>
      </c>
      <c r="J33" s="592">
        <f t="shared" si="18"/>
        <v>536.57045152588796</v>
      </c>
      <c r="K33" s="592">
        <f t="shared" ref="K33:K36" si="19">J33*5.4%+J33</f>
        <v>565.54525590828587</v>
      </c>
      <c r="L33" s="592">
        <f t="shared" ref="L33:L36" si="20">K33*10%+K33</f>
        <v>622.09978149911444</v>
      </c>
      <c r="M33" s="759">
        <f>L33*5%+L33</f>
        <v>653.20477057407015</v>
      </c>
      <c r="N33" s="761">
        <f>M33+M33*5.3%</f>
        <v>687.82462341449582</v>
      </c>
      <c r="O33" s="761">
        <f>N33+N33*4.9%</f>
        <v>721.52802996180617</v>
      </c>
      <c r="P33" s="910">
        <f>O33+O33*4.4%</f>
        <v>753.27526328012561</v>
      </c>
      <c r="Q33" s="761">
        <f>P33+P33*3.7%</f>
        <v>781.1464480214903</v>
      </c>
      <c r="R33" s="761">
        <f>Q33+Q33*3.3%</f>
        <v>806.92428080619948</v>
      </c>
      <c r="S33" s="761">
        <f>R33+R33*3.2%</f>
        <v>832.74585779199788</v>
      </c>
    </row>
    <row r="34" spans="1:19" ht="29.25" customHeight="1">
      <c r="A34" s="589"/>
      <c r="B34" s="589" t="s">
        <v>521</v>
      </c>
      <c r="C34" s="588" t="s">
        <v>522</v>
      </c>
      <c r="D34" s="590" t="s">
        <v>523</v>
      </c>
      <c r="E34" s="590" t="s">
        <v>524</v>
      </c>
      <c r="F34" s="588" t="s">
        <v>525</v>
      </c>
      <c r="G34" s="588" t="s">
        <v>526</v>
      </c>
      <c r="H34" s="592">
        <v>1315.8955247524752</v>
      </c>
      <c r="I34" s="592">
        <f t="shared" ref="I34:J34" si="21">H34*5.3%+H34</f>
        <v>1385.6379875643565</v>
      </c>
      <c r="J34" s="592">
        <f t="shared" si="21"/>
        <v>1459.0768009052674</v>
      </c>
      <c r="K34" s="592">
        <f t="shared" si="19"/>
        <v>1537.8669481541519</v>
      </c>
      <c r="L34" s="592">
        <f t="shared" si="20"/>
        <v>1691.653642969567</v>
      </c>
      <c r="M34" s="759">
        <f>L34*5%+L34</f>
        <v>1776.2363251180454</v>
      </c>
      <c r="N34" s="761">
        <f>M34+M34*5.3%</f>
        <v>1870.3768503493018</v>
      </c>
      <c r="O34" s="761">
        <f>N34+N34*4.9%</f>
        <v>1962.0253160164175</v>
      </c>
      <c r="P34" s="910">
        <f>O34+O34*4.4%</f>
        <v>2048.3544299211399</v>
      </c>
      <c r="Q34" s="761">
        <f>P34+P34*3.7%</f>
        <v>2124.1435438282219</v>
      </c>
      <c r="R34" s="761">
        <f>Q34+Q34*3.3%</f>
        <v>2194.2402807745534</v>
      </c>
      <c r="S34" s="761">
        <f>R34+R34*3.2%</f>
        <v>2264.455969759339</v>
      </c>
    </row>
    <row r="35" spans="1:19" ht="29.25" customHeight="1">
      <c r="A35" s="589"/>
      <c r="B35" s="589" t="s">
        <v>527</v>
      </c>
      <c r="C35" s="588" t="s">
        <v>528</v>
      </c>
      <c r="D35" s="590" t="s">
        <v>529</v>
      </c>
      <c r="E35" s="590" t="s">
        <v>530</v>
      </c>
      <c r="F35" s="588" t="s">
        <v>531</v>
      </c>
      <c r="G35" s="588" t="s">
        <v>532</v>
      </c>
      <c r="H35" s="592">
        <v>1380.3994080000002</v>
      </c>
      <c r="I35" s="592">
        <f t="shared" ref="I35:J35" si="22">H35*5.3%+H35</f>
        <v>1453.5605766240003</v>
      </c>
      <c r="J35" s="592">
        <f t="shared" si="22"/>
        <v>1530.5992871850724</v>
      </c>
      <c r="K35" s="592">
        <f t="shared" si="19"/>
        <v>1613.2516486930663</v>
      </c>
      <c r="L35" s="592">
        <f t="shared" si="20"/>
        <v>1774.576813562373</v>
      </c>
      <c r="M35" s="759">
        <f>L35*5%+L35</f>
        <v>1863.3056542404915</v>
      </c>
      <c r="N35" s="761">
        <f>M35+M35*5.3%</f>
        <v>1962.0608539152377</v>
      </c>
      <c r="O35" s="761">
        <f>N35+N35*4.9%</f>
        <v>2058.2018357570842</v>
      </c>
      <c r="P35" s="910">
        <f>O35+O35*4.4%</f>
        <v>2148.7627165303957</v>
      </c>
      <c r="Q35" s="761">
        <f>P35+P35*3.7%</f>
        <v>2228.2669370420203</v>
      </c>
      <c r="R35" s="761">
        <f>Q35+Q35*3.3%</f>
        <v>2301.7997459644071</v>
      </c>
      <c r="S35" s="761">
        <f>R35+R35*3.2%</f>
        <v>2375.4573378352679</v>
      </c>
    </row>
    <row r="36" spans="1:19" ht="16">
      <c r="A36" s="589"/>
      <c r="B36" s="589" t="s">
        <v>533</v>
      </c>
      <c r="C36" s="588">
        <v>917</v>
      </c>
      <c r="D36" s="590" t="s">
        <v>534</v>
      </c>
      <c r="E36" s="590" t="s">
        <v>535</v>
      </c>
      <c r="F36" s="588" t="s">
        <v>536</v>
      </c>
      <c r="G36" s="588" t="s">
        <v>537</v>
      </c>
      <c r="H36" s="592">
        <v>1755.3036960000004</v>
      </c>
      <c r="I36" s="592">
        <f t="shared" ref="I36:J36" si="23">H36*5.3%+H36</f>
        <v>1848.3347918880004</v>
      </c>
      <c r="J36" s="592">
        <f t="shared" si="23"/>
        <v>1946.2965358580643</v>
      </c>
      <c r="K36" s="592">
        <f t="shared" si="19"/>
        <v>2051.3965487943997</v>
      </c>
      <c r="L36" s="592">
        <f t="shared" si="20"/>
        <v>2256.5362036738397</v>
      </c>
      <c r="M36" s="759">
        <f>L36*5%+L36</f>
        <v>2369.3630138575318</v>
      </c>
      <c r="N36" s="761">
        <f>M36+M36*5.3%</f>
        <v>2494.939253591981</v>
      </c>
      <c r="O36" s="761">
        <f>N36+N36*4.9%</f>
        <v>2617.1912770179879</v>
      </c>
      <c r="P36" s="910">
        <f>O36+O36*4.4%</f>
        <v>2732.3476932067792</v>
      </c>
      <c r="Q36" s="761">
        <f>P36+P36*3.7%</f>
        <v>2833.44455785543</v>
      </c>
      <c r="R36" s="761">
        <f>Q36+Q36*3.3%</f>
        <v>2926.9482282646591</v>
      </c>
      <c r="S36" s="761">
        <f>R36+R36*3.2%</f>
        <v>3020.6105715691283</v>
      </c>
    </row>
    <row r="37" spans="1:19" ht="16">
      <c r="A37" s="589"/>
      <c r="B37" s="589" t="s">
        <v>538</v>
      </c>
      <c r="C37" s="588"/>
      <c r="D37" s="588"/>
      <c r="E37" s="588"/>
      <c r="F37" s="588"/>
      <c r="G37" s="588"/>
      <c r="H37" s="588"/>
      <c r="I37" s="588"/>
      <c r="J37" s="588"/>
      <c r="K37" s="588"/>
      <c r="L37" s="588"/>
      <c r="M37" s="757"/>
      <c r="N37" s="761"/>
      <c r="O37" s="761"/>
      <c r="P37" s="910"/>
      <c r="Q37" s="761"/>
      <c r="R37" s="761"/>
      <c r="S37" s="761"/>
    </row>
    <row r="38" spans="1:19" ht="16">
      <c r="A38" s="588">
        <v>13</v>
      </c>
      <c r="B38" s="589" t="s">
        <v>539</v>
      </c>
      <c r="C38" s="588"/>
      <c r="D38" s="588"/>
      <c r="E38" s="588"/>
      <c r="F38" s="588"/>
      <c r="G38" s="588"/>
      <c r="H38" s="588"/>
      <c r="I38" s="588"/>
      <c r="J38" s="588"/>
      <c r="K38" s="588"/>
      <c r="L38" s="588"/>
      <c r="M38" s="757"/>
      <c r="N38" s="761"/>
      <c r="O38" s="761"/>
      <c r="P38" s="910"/>
      <c r="Q38" s="761"/>
      <c r="R38" s="761"/>
      <c r="S38" s="761"/>
    </row>
    <row r="39" spans="1:19" ht="16">
      <c r="A39" s="589"/>
      <c r="B39" s="591" t="s">
        <v>540</v>
      </c>
      <c r="C39" s="588"/>
      <c r="D39" s="588"/>
      <c r="E39" s="588"/>
      <c r="F39" s="588"/>
      <c r="G39" s="588"/>
      <c r="H39" s="588"/>
      <c r="I39" s="588"/>
      <c r="J39" s="588"/>
      <c r="K39" s="588"/>
      <c r="L39" s="588"/>
      <c r="M39" s="757"/>
      <c r="N39" s="761"/>
      <c r="O39" s="761"/>
      <c r="P39" s="910"/>
      <c r="Q39" s="761"/>
      <c r="R39" s="761"/>
      <c r="S39" s="761"/>
    </row>
    <row r="40" spans="1:19" ht="16">
      <c r="A40" s="589"/>
      <c r="B40" s="591" t="s">
        <v>541</v>
      </c>
      <c r="C40" s="588" t="s">
        <v>542</v>
      </c>
      <c r="D40" s="588"/>
      <c r="E40" s="588"/>
      <c r="F40" s="588"/>
      <c r="G40" s="588"/>
      <c r="H40" s="588"/>
      <c r="I40" s="588"/>
      <c r="J40" s="588"/>
      <c r="K40" s="588"/>
      <c r="L40" s="588"/>
      <c r="M40" s="757"/>
      <c r="N40" s="761"/>
      <c r="O40" s="761"/>
      <c r="P40" s="910"/>
      <c r="Q40" s="761"/>
      <c r="R40" s="761"/>
      <c r="S40" s="761"/>
    </row>
    <row r="41" spans="1:19" ht="16">
      <c r="A41" s="589"/>
      <c r="B41" s="591" t="s">
        <v>543</v>
      </c>
      <c r="C41" s="588" t="s">
        <v>501</v>
      </c>
      <c r="D41" s="589" t="s">
        <v>501</v>
      </c>
      <c r="E41" s="589" t="s">
        <v>501</v>
      </c>
      <c r="F41" s="588" t="s">
        <v>501</v>
      </c>
      <c r="G41" s="588" t="s">
        <v>501</v>
      </c>
      <c r="H41" s="588" t="s">
        <v>501</v>
      </c>
      <c r="I41" s="588" t="s">
        <v>501</v>
      </c>
      <c r="J41" s="588" t="s">
        <v>501</v>
      </c>
      <c r="K41" s="588" t="s">
        <v>501</v>
      </c>
      <c r="L41" s="588" t="s">
        <v>501</v>
      </c>
      <c r="M41" s="757" t="s">
        <v>501</v>
      </c>
      <c r="N41" s="588" t="s">
        <v>501</v>
      </c>
      <c r="O41" s="588" t="s">
        <v>501</v>
      </c>
      <c r="P41" s="911" t="s">
        <v>501</v>
      </c>
      <c r="Q41" s="761" t="s">
        <v>501</v>
      </c>
      <c r="R41" s="761" t="s">
        <v>501</v>
      </c>
      <c r="S41" s="761" t="s">
        <v>501</v>
      </c>
    </row>
    <row r="42" spans="1:19" ht="16">
      <c r="A42" s="589"/>
      <c r="B42" s="591" t="s">
        <v>544</v>
      </c>
      <c r="C42" s="588" t="s">
        <v>501</v>
      </c>
      <c r="D42" s="589" t="s">
        <v>501</v>
      </c>
      <c r="E42" s="589" t="s">
        <v>501</v>
      </c>
      <c r="F42" s="588" t="s">
        <v>501</v>
      </c>
      <c r="G42" s="588" t="s">
        <v>501</v>
      </c>
      <c r="H42" s="588" t="s">
        <v>501</v>
      </c>
      <c r="I42" s="588" t="s">
        <v>501</v>
      </c>
      <c r="J42" s="588" t="s">
        <v>501</v>
      </c>
      <c r="K42" s="588" t="s">
        <v>501</v>
      </c>
      <c r="L42" s="588" t="s">
        <v>501</v>
      </c>
      <c r="M42" s="757" t="s">
        <v>501</v>
      </c>
      <c r="N42" s="588" t="s">
        <v>501</v>
      </c>
      <c r="O42" s="588" t="s">
        <v>501</v>
      </c>
      <c r="P42" s="911" t="s">
        <v>501</v>
      </c>
      <c r="Q42" s="761" t="s">
        <v>501</v>
      </c>
      <c r="R42" s="761" t="s">
        <v>501</v>
      </c>
      <c r="S42" s="761" t="s">
        <v>501</v>
      </c>
    </row>
    <row r="43" spans="1:19" ht="32">
      <c r="A43" s="588">
        <v>14</v>
      </c>
      <c r="B43" s="589" t="s">
        <v>545</v>
      </c>
      <c r="C43" s="588" t="s">
        <v>546</v>
      </c>
      <c r="D43" s="590" t="s">
        <v>547</v>
      </c>
      <c r="E43" s="590" t="s">
        <v>548</v>
      </c>
      <c r="F43" s="588" t="s">
        <v>549</v>
      </c>
      <c r="G43" s="588" t="s">
        <v>550</v>
      </c>
      <c r="H43" s="592">
        <v>55.166399999999996</v>
      </c>
      <c r="I43" s="592">
        <f>H43*5.3%+H43</f>
        <v>58.090219199999993</v>
      </c>
      <c r="J43" s="592">
        <f t="shared" ref="J43:J44" si="24">I43*5.3%+I43</f>
        <v>61.169000817599994</v>
      </c>
      <c r="K43" s="592">
        <f>J43*5.4%+J43</f>
        <v>64.472126861750397</v>
      </c>
      <c r="L43" s="592">
        <f>K43*10%+K43</f>
        <v>70.919339547925432</v>
      </c>
      <c r="M43" s="759">
        <f>L43*5%+L43</f>
        <v>74.465306525321708</v>
      </c>
      <c r="N43" s="761">
        <f>M43+M43*5.3%</f>
        <v>78.411967771163759</v>
      </c>
      <c r="O43" s="761">
        <f>N43+N43*4.9%</f>
        <v>82.254154191950789</v>
      </c>
      <c r="P43" s="910">
        <f>O43+O43*4.4%</f>
        <v>85.873336976396629</v>
      </c>
      <c r="Q43" s="761">
        <f>P43+P43*3.7%</f>
        <v>89.050650444523299</v>
      </c>
      <c r="R43" s="761">
        <f>Q43+Q43*3.3%</f>
        <v>91.989321909192569</v>
      </c>
      <c r="S43" s="761">
        <f>R43+R43*3.2%</f>
        <v>94.932980210286729</v>
      </c>
    </row>
    <row r="44" spans="1:19" ht="32">
      <c r="A44" s="588">
        <v>15</v>
      </c>
      <c r="B44" s="589" t="s">
        <v>551</v>
      </c>
      <c r="C44" s="588" t="s">
        <v>552</v>
      </c>
      <c r="D44" s="590" t="s">
        <v>553</v>
      </c>
      <c r="E44" s="590" t="s">
        <v>554</v>
      </c>
      <c r="F44" s="588" t="s">
        <v>555</v>
      </c>
      <c r="G44" s="588" t="s">
        <v>556</v>
      </c>
      <c r="H44" s="592">
        <v>260.0532</v>
      </c>
      <c r="I44" s="592">
        <f>H44*5.3%+H44</f>
        <v>273.83601959999999</v>
      </c>
      <c r="J44" s="592">
        <f t="shared" si="24"/>
        <v>288.34932863879999</v>
      </c>
      <c r="K44" s="592">
        <f>J44*5.4%+J44</f>
        <v>303.92019238529519</v>
      </c>
      <c r="L44" s="592">
        <f>K44*10%+K44</f>
        <v>334.31221162382474</v>
      </c>
      <c r="M44" s="759">
        <f>L44*5%+L44</f>
        <v>351.02782220501598</v>
      </c>
      <c r="N44" s="761">
        <f>M44+M44*5.3%</f>
        <v>369.63229678188185</v>
      </c>
      <c r="O44" s="761">
        <f>N44+N44*4.9%</f>
        <v>387.74427932419405</v>
      </c>
      <c r="P44" s="910">
        <f>O44+O44*4.4%</f>
        <v>404.8050276144586</v>
      </c>
      <c r="Q44" s="761">
        <f>P44+P44*3.7%</f>
        <v>419.78281363619357</v>
      </c>
      <c r="R44" s="761">
        <f>Q44+Q44*3.3%</f>
        <v>433.63564648618797</v>
      </c>
      <c r="S44" s="761">
        <f>R44+R44*3.2%</f>
        <v>447.51198717374598</v>
      </c>
    </row>
    <row r="45" spans="1:19" ht="16">
      <c r="A45" s="588">
        <v>16</v>
      </c>
      <c r="B45" s="589" t="s">
        <v>557</v>
      </c>
      <c r="C45" s="588"/>
      <c r="D45" s="588"/>
      <c r="E45" s="588"/>
      <c r="F45" s="588"/>
      <c r="G45" s="588" t="s">
        <v>375</v>
      </c>
      <c r="H45" s="588" t="s">
        <v>375</v>
      </c>
      <c r="I45" s="588" t="s">
        <v>375</v>
      </c>
      <c r="J45" s="588" t="s">
        <v>375</v>
      </c>
      <c r="K45" s="588" t="s">
        <v>375</v>
      </c>
      <c r="L45" s="588" t="s">
        <v>375</v>
      </c>
      <c r="M45" s="757" t="s">
        <v>375</v>
      </c>
      <c r="N45" s="588" t="s">
        <v>375</v>
      </c>
      <c r="O45" s="588" t="s">
        <v>375</v>
      </c>
      <c r="P45" s="911" t="s">
        <v>375</v>
      </c>
      <c r="Q45" s="761" t="s">
        <v>375</v>
      </c>
      <c r="R45" s="761" t="s">
        <v>375</v>
      </c>
      <c r="S45" s="761" t="s">
        <v>375</v>
      </c>
    </row>
    <row r="46" spans="1:19" ht="16">
      <c r="A46" s="588">
        <v>17</v>
      </c>
      <c r="B46" s="589" t="s">
        <v>558</v>
      </c>
      <c r="C46" s="588" t="s">
        <v>559</v>
      </c>
      <c r="D46" s="590" t="s">
        <v>560</v>
      </c>
      <c r="E46" s="590" t="s">
        <v>561</v>
      </c>
      <c r="F46" s="588" t="s">
        <v>562</v>
      </c>
      <c r="G46" s="588" t="s">
        <v>563</v>
      </c>
      <c r="H46" s="592">
        <v>105.61320000000002</v>
      </c>
      <c r="I46" s="592">
        <f t="shared" ref="I46:J46" si="25">H46*5.3%+H46</f>
        <v>111.21069960000003</v>
      </c>
      <c r="J46" s="592">
        <f t="shared" si="25"/>
        <v>117.10486667880002</v>
      </c>
      <c r="K46" s="592">
        <f t="shared" ref="K46:K50" si="26">J46*5.4%+J46</f>
        <v>123.42852947945522</v>
      </c>
      <c r="L46" s="592">
        <f t="shared" ref="L46:L50" si="27">K46*10%+K46</f>
        <v>135.77138242740074</v>
      </c>
      <c r="M46" s="759">
        <f>L46*5%+L46</f>
        <v>142.55995154877078</v>
      </c>
      <c r="N46" s="761">
        <f>M46+M46*5.3%</f>
        <v>150.11562898085563</v>
      </c>
      <c r="O46" s="761">
        <f>N46+N46*4.9%</f>
        <v>157.47129480091755</v>
      </c>
      <c r="P46" s="910">
        <f>O46+O46*4.4%</f>
        <v>164.40003177215792</v>
      </c>
      <c r="Q46" s="761">
        <f>P46+P46*3.7%</f>
        <v>170.48283294772776</v>
      </c>
      <c r="R46" s="761">
        <f>Q46+Q46*3.3%</f>
        <v>176.10876643500276</v>
      </c>
      <c r="S46" s="761">
        <f>R46+R46*3.2%</f>
        <v>181.74424696092285</v>
      </c>
    </row>
    <row r="47" spans="1:19" ht="16">
      <c r="A47" s="588">
        <v>18</v>
      </c>
      <c r="B47" s="589" t="s">
        <v>564</v>
      </c>
      <c r="C47" s="588" t="s">
        <v>565</v>
      </c>
      <c r="D47" s="590" t="s">
        <v>566</v>
      </c>
      <c r="E47" s="590" t="s">
        <v>567</v>
      </c>
      <c r="F47" s="588" t="s">
        <v>568</v>
      </c>
      <c r="G47" s="588" t="s">
        <v>569</v>
      </c>
      <c r="H47" s="592">
        <v>158.6088</v>
      </c>
      <c r="I47" s="592">
        <f t="shared" ref="I47:J47" si="28">H47*5.3%+H47</f>
        <v>167.01506639999999</v>
      </c>
      <c r="J47" s="592">
        <f t="shared" si="28"/>
        <v>175.8668649192</v>
      </c>
      <c r="K47" s="592">
        <f t="shared" si="26"/>
        <v>185.36367562483679</v>
      </c>
      <c r="L47" s="592">
        <f t="shared" si="27"/>
        <v>203.90004318732048</v>
      </c>
      <c r="M47" s="759">
        <f>L47*5%+L47</f>
        <v>214.0950453466865</v>
      </c>
      <c r="N47" s="761">
        <f>M47+M47*5.3%</f>
        <v>225.44208275006088</v>
      </c>
      <c r="O47" s="761">
        <f>N47+N47*4.9%</f>
        <v>236.48874480481385</v>
      </c>
      <c r="P47" s="910">
        <f>O47+O47*4.4%</f>
        <v>246.89424957622566</v>
      </c>
      <c r="Q47" s="761">
        <f>P47+P47*3.7%</f>
        <v>256.029336810546</v>
      </c>
      <c r="R47" s="761">
        <f>Q47+Q47*3.3%</f>
        <v>264.47830492529403</v>
      </c>
      <c r="S47" s="761">
        <f>R47+R47*3.2%</f>
        <v>272.94161068290344</v>
      </c>
    </row>
    <row r="48" spans="1:19" ht="16">
      <c r="A48" s="588">
        <v>19</v>
      </c>
      <c r="B48" s="589" t="s">
        <v>570</v>
      </c>
      <c r="C48" s="588" t="s">
        <v>571</v>
      </c>
      <c r="D48" s="590" t="s">
        <v>572</v>
      </c>
      <c r="E48" s="590" t="s">
        <v>573</v>
      </c>
      <c r="F48" s="588" t="s">
        <v>574</v>
      </c>
      <c r="G48" s="588" t="s">
        <v>575</v>
      </c>
      <c r="H48" s="592">
        <v>57.888000000000005</v>
      </c>
      <c r="I48" s="592">
        <f t="shared" ref="I48:J48" si="29">H48*5.3%+H48</f>
        <v>60.956064000000005</v>
      </c>
      <c r="J48" s="592">
        <f t="shared" si="29"/>
        <v>64.186735392000003</v>
      </c>
      <c r="K48" s="592">
        <f t="shared" si="26"/>
        <v>67.652819103168</v>
      </c>
      <c r="L48" s="592">
        <f t="shared" si="27"/>
        <v>74.418101013484801</v>
      </c>
      <c r="M48" s="759">
        <f>L48*5%+L48</f>
        <v>78.139006064159048</v>
      </c>
      <c r="N48" s="761">
        <f>M48+M48*5.3%</f>
        <v>82.280373385559471</v>
      </c>
      <c r="O48" s="761">
        <f>N48+N48*4.9%</f>
        <v>86.312111681451881</v>
      </c>
      <c r="P48" s="910">
        <f>O48+O48*4.4%</f>
        <v>90.10984459543576</v>
      </c>
      <c r="Q48" s="761">
        <f>P48+P48*3.7%</f>
        <v>93.443908845466879</v>
      </c>
      <c r="R48" s="761">
        <f>Q48+Q48*3.3%</f>
        <v>96.527557837367283</v>
      </c>
      <c r="S48" s="761">
        <f>R48+R48*3.2%</f>
        <v>99.616439688163041</v>
      </c>
    </row>
    <row r="49" spans="1:19" ht="16">
      <c r="A49" s="588">
        <v>20</v>
      </c>
      <c r="B49" s="589" t="s">
        <v>576</v>
      </c>
      <c r="C49" s="588" t="s">
        <v>577</v>
      </c>
      <c r="D49" s="590" t="s">
        <v>578</v>
      </c>
      <c r="E49" s="590" t="s">
        <v>579</v>
      </c>
      <c r="F49" s="588" t="s">
        <v>580</v>
      </c>
      <c r="G49" s="588" t="s">
        <v>581</v>
      </c>
      <c r="H49" s="592">
        <v>106.3476</v>
      </c>
      <c r="I49" s="592">
        <f t="shared" ref="I49:J49" si="30">H49*5.3%+H49</f>
        <v>111.98402280000001</v>
      </c>
      <c r="J49" s="592">
        <f t="shared" si="30"/>
        <v>117.9191760084</v>
      </c>
      <c r="K49" s="592">
        <f t="shared" si="26"/>
        <v>124.2868115128536</v>
      </c>
      <c r="L49" s="592">
        <f t="shared" si="27"/>
        <v>136.71549266413896</v>
      </c>
      <c r="M49" s="759">
        <f>L49*5%+L49</f>
        <v>143.5512672973459</v>
      </c>
      <c r="N49" s="761">
        <f>M49+M49*5.3%</f>
        <v>151.15948446410525</v>
      </c>
      <c r="O49" s="761">
        <f>N49+N49*4.9%</f>
        <v>158.56629920284641</v>
      </c>
      <c r="P49" s="910">
        <f>O49+O49*4.4%</f>
        <v>165.54321636777166</v>
      </c>
      <c r="Q49" s="761">
        <f>P49+P49*3.7%</f>
        <v>171.66831537337922</v>
      </c>
      <c r="R49" s="761">
        <f>Q49+Q49*3.3%</f>
        <v>177.33336978070074</v>
      </c>
      <c r="S49" s="761">
        <f>R49+R49*3.2%</f>
        <v>183.00803761368317</v>
      </c>
    </row>
    <row r="50" spans="1:19" ht="16">
      <c r="A50" s="588">
        <v>21</v>
      </c>
      <c r="B50" s="593" t="s">
        <v>582</v>
      </c>
      <c r="C50" s="588" t="s">
        <v>583</v>
      </c>
      <c r="D50" s="588" t="s">
        <v>584</v>
      </c>
      <c r="E50" s="588" t="s">
        <v>585</v>
      </c>
      <c r="F50" s="588" t="s">
        <v>586</v>
      </c>
      <c r="G50" s="588" t="s">
        <v>587</v>
      </c>
      <c r="H50" s="592">
        <v>386.73719999999992</v>
      </c>
      <c r="I50" s="592">
        <f t="shared" ref="I50:J50" si="31">H50*5.3%+H50</f>
        <v>407.23427159999989</v>
      </c>
      <c r="J50" s="592">
        <f t="shared" si="31"/>
        <v>428.81768799479988</v>
      </c>
      <c r="K50" s="592">
        <f t="shared" si="26"/>
        <v>451.97384314651907</v>
      </c>
      <c r="L50" s="592">
        <f t="shared" si="27"/>
        <v>497.17122746117099</v>
      </c>
      <c r="M50" s="759">
        <f>L50*5%+L50</f>
        <v>522.02978883422952</v>
      </c>
      <c r="N50" s="761">
        <f>M50+M50*5.3%</f>
        <v>549.69736764244374</v>
      </c>
      <c r="O50" s="761">
        <f>N50+N50*4.9%</f>
        <v>576.63253865692343</v>
      </c>
      <c r="P50" s="910">
        <f>O50+O50*4.4%</f>
        <v>602.00437035782807</v>
      </c>
      <c r="Q50" s="761">
        <f>P50+P50*3.7%</f>
        <v>624.27853206106772</v>
      </c>
      <c r="R50" s="761">
        <f>Q50+Q50*3.3%</f>
        <v>644.87972361908294</v>
      </c>
      <c r="S50" s="761">
        <f>R50+R50*3.2%</f>
        <v>665.51587477489363</v>
      </c>
    </row>
    <row r="51" spans="1:19" ht="16">
      <c r="A51" s="588">
        <v>22</v>
      </c>
      <c r="B51" s="589" t="s">
        <v>588</v>
      </c>
      <c r="C51" s="588" t="s">
        <v>501</v>
      </c>
      <c r="D51" s="589" t="s">
        <v>501</v>
      </c>
      <c r="E51" s="589" t="s">
        <v>501</v>
      </c>
      <c r="F51" s="588" t="s">
        <v>501</v>
      </c>
      <c r="G51" s="588" t="s">
        <v>501</v>
      </c>
      <c r="H51" s="588" t="s">
        <v>501</v>
      </c>
      <c r="I51" s="588" t="s">
        <v>501</v>
      </c>
      <c r="J51" s="588" t="s">
        <v>501</v>
      </c>
      <c r="K51" s="588" t="s">
        <v>501</v>
      </c>
      <c r="L51" s="588" t="s">
        <v>501</v>
      </c>
      <c r="M51" s="757" t="s">
        <v>501</v>
      </c>
      <c r="N51" s="588" t="s">
        <v>501</v>
      </c>
      <c r="O51" s="588" t="s">
        <v>501</v>
      </c>
      <c r="P51" s="911" t="s">
        <v>501</v>
      </c>
      <c r="Q51" s="761" t="s">
        <v>501</v>
      </c>
      <c r="R51" s="761" t="s">
        <v>501</v>
      </c>
      <c r="S51" s="761" t="s">
        <v>501</v>
      </c>
    </row>
    <row r="52" spans="1:19" ht="16">
      <c r="A52" s="589">
        <v>23</v>
      </c>
      <c r="B52" s="589" t="s">
        <v>589</v>
      </c>
      <c r="C52" s="588" t="s">
        <v>501</v>
      </c>
      <c r="D52" s="589" t="s">
        <v>501</v>
      </c>
      <c r="E52" s="589" t="s">
        <v>501</v>
      </c>
      <c r="F52" s="588" t="s">
        <v>501</v>
      </c>
      <c r="G52" s="588" t="s">
        <v>501</v>
      </c>
      <c r="H52" s="588" t="s">
        <v>501</v>
      </c>
      <c r="I52" s="588" t="s">
        <v>501</v>
      </c>
      <c r="J52" s="588" t="s">
        <v>501</v>
      </c>
      <c r="K52" s="588" t="s">
        <v>501</v>
      </c>
      <c r="L52" s="588" t="s">
        <v>501</v>
      </c>
      <c r="M52" s="757" t="s">
        <v>501</v>
      </c>
      <c r="N52" s="588" t="s">
        <v>501</v>
      </c>
      <c r="O52" s="588" t="s">
        <v>501</v>
      </c>
      <c r="P52" s="911" t="s">
        <v>501</v>
      </c>
      <c r="Q52" s="761" t="s">
        <v>501</v>
      </c>
      <c r="R52" s="761" t="s">
        <v>501</v>
      </c>
      <c r="S52" s="761" t="s">
        <v>501</v>
      </c>
    </row>
    <row r="53" spans="1:19" ht="16">
      <c r="A53" s="589"/>
      <c r="B53" s="589" t="s">
        <v>590</v>
      </c>
      <c r="C53" s="588"/>
      <c r="D53" s="588"/>
      <c r="E53" s="588"/>
      <c r="F53" s="588"/>
      <c r="G53" s="588"/>
      <c r="H53" s="588"/>
      <c r="I53" s="592"/>
      <c r="J53" s="592"/>
      <c r="K53" s="592"/>
      <c r="L53" s="592"/>
      <c r="M53" s="759"/>
      <c r="N53" s="761"/>
      <c r="O53" s="761"/>
      <c r="P53" s="910"/>
      <c r="Q53" s="761"/>
      <c r="R53" s="761"/>
      <c r="S53" s="761"/>
    </row>
    <row r="54" spans="1:19" ht="16">
      <c r="A54" s="588">
        <v>24</v>
      </c>
      <c r="B54" s="593" t="s">
        <v>591</v>
      </c>
      <c r="C54" s="588" t="s">
        <v>546</v>
      </c>
      <c r="D54" s="588" t="s">
        <v>592</v>
      </c>
      <c r="E54" s="588" t="s">
        <v>548</v>
      </c>
      <c r="F54" s="588" t="s">
        <v>549</v>
      </c>
      <c r="G54" s="588" t="s">
        <v>550</v>
      </c>
      <c r="H54" s="592">
        <v>55.166399999999996</v>
      </c>
      <c r="I54" s="592">
        <f t="shared" ref="I54:J54" si="32">H54*5.3%+H54</f>
        <v>58.090219199999993</v>
      </c>
      <c r="J54" s="592">
        <f t="shared" si="32"/>
        <v>61.169000817599994</v>
      </c>
      <c r="K54" s="592">
        <f>J54*5.4%+J54</f>
        <v>64.472126861750397</v>
      </c>
      <c r="L54" s="592">
        <f>K54*10%+K54</f>
        <v>70.919339547925432</v>
      </c>
      <c r="M54" s="759">
        <f>L54*5%+L54</f>
        <v>74.465306525321708</v>
      </c>
      <c r="N54" s="761">
        <f>M54+M54*5.3%</f>
        <v>78.411967771163759</v>
      </c>
      <c r="O54" s="761">
        <f>N54+N54*4.9%</f>
        <v>82.254154191950789</v>
      </c>
      <c r="P54" s="910">
        <f t="shared" ref="P54:P59" si="33">O54+O54*4.4%</f>
        <v>85.873336976396629</v>
      </c>
      <c r="Q54" s="761">
        <f t="shared" ref="Q54:Q59" si="34">P54+P54*3.7%</f>
        <v>89.050650444523299</v>
      </c>
      <c r="R54" s="761">
        <f t="shared" ref="R54:R59" si="35">Q54+Q54*3.3%</f>
        <v>91.989321909192569</v>
      </c>
      <c r="S54" s="761">
        <f t="shared" ref="S54:S59" si="36">R54+R54*3.2%</f>
        <v>94.932980210286729</v>
      </c>
    </row>
    <row r="55" spans="1:19">
      <c r="A55" s="589"/>
      <c r="B55" s="589"/>
      <c r="C55" s="588"/>
      <c r="D55" s="588"/>
      <c r="E55" s="588"/>
      <c r="F55" s="588"/>
      <c r="G55" s="588"/>
      <c r="H55" s="588"/>
      <c r="I55" s="592"/>
      <c r="J55" s="592"/>
      <c r="K55" s="592"/>
      <c r="L55" s="592"/>
      <c r="M55" s="759"/>
      <c r="N55" s="761"/>
      <c r="O55" s="761"/>
      <c r="P55" s="912">
        <f t="shared" si="33"/>
        <v>0</v>
      </c>
      <c r="Q55" s="761">
        <f t="shared" si="34"/>
        <v>0</v>
      </c>
      <c r="R55" s="761">
        <f t="shared" si="35"/>
        <v>0</v>
      </c>
      <c r="S55" s="761">
        <f t="shared" si="36"/>
        <v>0</v>
      </c>
    </row>
    <row r="56" spans="1:19" ht="16">
      <c r="A56" s="588">
        <v>25</v>
      </c>
      <c r="B56" s="589" t="s">
        <v>593</v>
      </c>
      <c r="C56" s="588"/>
      <c r="D56" s="588"/>
      <c r="E56" s="588"/>
      <c r="F56" s="588"/>
      <c r="G56" s="588"/>
      <c r="H56" s="588"/>
      <c r="I56" s="592"/>
      <c r="J56" s="592"/>
      <c r="K56" s="592"/>
      <c r="L56" s="592"/>
      <c r="M56" s="759"/>
      <c r="N56" s="761"/>
      <c r="O56" s="761"/>
      <c r="P56" s="912">
        <f t="shared" si="33"/>
        <v>0</v>
      </c>
      <c r="Q56" s="761">
        <f t="shared" si="34"/>
        <v>0</v>
      </c>
      <c r="R56" s="761">
        <f t="shared" si="35"/>
        <v>0</v>
      </c>
      <c r="S56" s="761">
        <f t="shared" si="36"/>
        <v>0</v>
      </c>
    </row>
    <row r="57" spans="1:19" ht="16">
      <c r="A57" s="599"/>
      <c r="B57" s="599" t="s">
        <v>594</v>
      </c>
      <c r="C57" s="600"/>
      <c r="D57" s="601" t="s">
        <v>595</v>
      </c>
      <c r="E57" s="601" t="s">
        <v>596</v>
      </c>
      <c r="F57" s="588" t="s">
        <v>597</v>
      </c>
      <c r="G57" s="588" t="s">
        <v>598</v>
      </c>
      <c r="H57" s="592">
        <v>707.46479999999997</v>
      </c>
      <c r="I57" s="592">
        <f t="shared" ref="I57:J57" si="37">H57*5.3%+H57</f>
        <v>744.96043439999994</v>
      </c>
      <c r="J57" s="592">
        <f t="shared" si="37"/>
        <v>784.44333742319998</v>
      </c>
      <c r="K57" s="592">
        <f t="shared" ref="K57:K59" si="38">J57*5.4%+J57</f>
        <v>826.80327764405274</v>
      </c>
      <c r="L57" s="592">
        <f t="shared" ref="L57:L59" si="39">K57*10%+K57</f>
        <v>909.48360540845806</v>
      </c>
      <c r="M57" s="759">
        <f>L57*5%+L57</f>
        <v>954.95778567888101</v>
      </c>
      <c r="N57" s="761">
        <f>M57+M57*5.3%</f>
        <v>1005.5705483198617</v>
      </c>
      <c r="O57" s="761">
        <f>N57+N57*4.9%</f>
        <v>1054.8435051875349</v>
      </c>
      <c r="P57" s="910">
        <f t="shared" si="33"/>
        <v>1101.2566194157864</v>
      </c>
      <c r="Q57" s="761">
        <f t="shared" si="34"/>
        <v>1142.0031143341705</v>
      </c>
      <c r="R57" s="761">
        <f t="shared" si="35"/>
        <v>1179.6892171071981</v>
      </c>
      <c r="S57" s="761">
        <f t="shared" si="36"/>
        <v>1217.4392720546284</v>
      </c>
    </row>
    <row r="58" spans="1:19" ht="16">
      <c r="A58" s="589"/>
      <c r="B58" s="589" t="s">
        <v>599</v>
      </c>
      <c r="C58" s="588" t="s">
        <v>600</v>
      </c>
      <c r="D58" s="590" t="s">
        <v>595</v>
      </c>
      <c r="E58" s="590" t="s">
        <v>596</v>
      </c>
      <c r="F58" s="588" t="s">
        <v>597</v>
      </c>
      <c r="G58" s="588" t="s">
        <v>601</v>
      </c>
      <c r="H58" s="592">
        <v>707.57280000000003</v>
      </c>
      <c r="I58" s="592">
        <f t="shared" ref="I58:J58" si="40">H58*5.3%+H58</f>
        <v>745.07415839999999</v>
      </c>
      <c r="J58" s="592">
        <f t="shared" si="40"/>
        <v>784.56308879519997</v>
      </c>
      <c r="K58" s="592">
        <f t="shared" si="38"/>
        <v>826.92949559014073</v>
      </c>
      <c r="L58" s="592">
        <f t="shared" si="39"/>
        <v>909.62244514915483</v>
      </c>
      <c r="M58" s="759">
        <f>L58*5%+L58</f>
        <v>955.10356740661257</v>
      </c>
      <c r="N58" s="761">
        <f>M58+M58*5.3%</f>
        <v>1005.724056479163</v>
      </c>
      <c r="O58" s="761">
        <f>N58+N58*4.9%</f>
        <v>1055.004535246642</v>
      </c>
      <c r="P58" s="910">
        <f t="shared" si="33"/>
        <v>1101.4247347974942</v>
      </c>
      <c r="Q58" s="761">
        <f t="shared" si="34"/>
        <v>1142.1774499850014</v>
      </c>
      <c r="R58" s="761">
        <f t="shared" si="35"/>
        <v>1179.8693058345066</v>
      </c>
      <c r="S58" s="761">
        <f t="shared" si="36"/>
        <v>1217.6251236212108</v>
      </c>
    </row>
    <row r="59" spans="1:19" ht="16">
      <c r="A59" s="588"/>
      <c r="B59" s="593" t="s">
        <v>602</v>
      </c>
      <c r="C59" s="588" t="s">
        <v>603</v>
      </c>
      <c r="D59" s="588" t="s">
        <v>604</v>
      </c>
      <c r="E59" s="588" t="s">
        <v>605</v>
      </c>
      <c r="F59" s="588" t="s">
        <v>606</v>
      </c>
      <c r="G59" s="588" t="s">
        <v>607</v>
      </c>
      <c r="H59" s="592">
        <v>506.68199999999996</v>
      </c>
      <c r="I59" s="592">
        <f t="shared" ref="I59:J59" si="41">H59*5.3%+H59</f>
        <v>533.53614599999992</v>
      </c>
      <c r="J59" s="592">
        <f t="shared" si="41"/>
        <v>561.81356173799986</v>
      </c>
      <c r="K59" s="592">
        <f t="shared" si="38"/>
        <v>592.15149407185186</v>
      </c>
      <c r="L59" s="592">
        <f t="shared" si="39"/>
        <v>651.36664347903707</v>
      </c>
      <c r="M59" s="759">
        <f>L59*5%+L59</f>
        <v>683.9349756529889</v>
      </c>
      <c r="N59" s="761">
        <f>M59+M59*5.3%</f>
        <v>720.18352936259726</v>
      </c>
      <c r="O59" s="761">
        <f>N59+N59*4.9%</f>
        <v>755.47252230136451</v>
      </c>
      <c r="P59" s="910">
        <f t="shared" si="33"/>
        <v>788.71331328262454</v>
      </c>
      <c r="Q59" s="761">
        <f t="shared" si="34"/>
        <v>817.89570587408161</v>
      </c>
      <c r="R59" s="761">
        <f t="shared" si="35"/>
        <v>844.88626416792636</v>
      </c>
      <c r="S59" s="761">
        <f t="shared" si="36"/>
        <v>871.92262462129997</v>
      </c>
    </row>
    <row r="60" spans="1:19" ht="16">
      <c r="A60" s="588">
        <v>26</v>
      </c>
      <c r="B60" s="589" t="s">
        <v>608</v>
      </c>
      <c r="C60" s="588" t="s">
        <v>501</v>
      </c>
      <c r="D60" s="589" t="s">
        <v>501</v>
      </c>
      <c r="E60" s="589" t="s">
        <v>501</v>
      </c>
      <c r="F60" s="588" t="s">
        <v>501</v>
      </c>
      <c r="G60" s="588" t="s">
        <v>501</v>
      </c>
      <c r="H60" s="588" t="s">
        <v>501</v>
      </c>
      <c r="I60" s="588" t="s">
        <v>501</v>
      </c>
      <c r="J60" s="588" t="s">
        <v>501</v>
      </c>
      <c r="K60" s="588" t="s">
        <v>501</v>
      </c>
      <c r="L60" s="588" t="s">
        <v>501</v>
      </c>
      <c r="M60" s="757" t="s">
        <v>501</v>
      </c>
      <c r="N60" s="588" t="s">
        <v>501</v>
      </c>
      <c r="O60" s="588" t="s">
        <v>501</v>
      </c>
      <c r="P60" s="911" t="s">
        <v>501</v>
      </c>
      <c r="Q60" s="761" t="s">
        <v>501</v>
      </c>
      <c r="R60" s="761" t="s">
        <v>501</v>
      </c>
      <c r="S60" s="761" t="s">
        <v>501</v>
      </c>
    </row>
    <row r="61" spans="1:19" ht="16">
      <c r="A61" s="588">
        <v>27</v>
      </c>
      <c r="B61" s="589" t="s">
        <v>609</v>
      </c>
      <c r="C61" s="588"/>
      <c r="D61" s="588"/>
      <c r="E61" s="588"/>
      <c r="F61" s="588"/>
      <c r="G61" s="588" t="s">
        <v>375</v>
      </c>
      <c r="H61" s="588" t="s">
        <v>375</v>
      </c>
      <c r="I61" s="588" t="s">
        <v>375</v>
      </c>
      <c r="J61" s="588" t="s">
        <v>375</v>
      </c>
      <c r="K61" s="588" t="s">
        <v>375</v>
      </c>
      <c r="L61" s="588" t="s">
        <v>375</v>
      </c>
      <c r="M61" s="757" t="s">
        <v>375</v>
      </c>
      <c r="N61" s="588" t="s">
        <v>375</v>
      </c>
      <c r="O61" s="588" t="s">
        <v>375</v>
      </c>
      <c r="P61" s="911" t="s">
        <v>375</v>
      </c>
      <c r="Q61" s="761" t="s">
        <v>375</v>
      </c>
      <c r="R61" s="761" t="s">
        <v>375</v>
      </c>
      <c r="S61" s="761" t="s">
        <v>375</v>
      </c>
    </row>
    <row r="62" spans="1:19" ht="32">
      <c r="A62" s="588">
        <v>28</v>
      </c>
      <c r="B62" s="589" t="s">
        <v>610</v>
      </c>
      <c r="C62" s="588"/>
      <c r="D62" s="588"/>
      <c r="E62" s="588"/>
      <c r="F62" s="588"/>
      <c r="G62" s="588" t="s">
        <v>611</v>
      </c>
      <c r="H62" s="588">
        <f>200*108/100</f>
        <v>216</v>
      </c>
      <c r="I62" s="592">
        <f t="shared" ref="I62:J62" si="42">H62*5.3%+H62</f>
        <v>227.44800000000001</v>
      </c>
      <c r="J62" s="592">
        <f t="shared" si="42"/>
        <v>239.50274400000001</v>
      </c>
      <c r="K62" s="592">
        <f>J62*5.4%+J62</f>
        <v>252.43589217600001</v>
      </c>
      <c r="L62" s="592">
        <f>K62*10%+K62</f>
        <v>277.67948139359999</v>
      </c>
      <c r="M62" s="759">
        <f>L62*5%+L62</f>
        <v>291.56345546327998</v>
      </c>
      <c r="N62" s="761">
        <f t="shared" ref="N62:N70" si="43">M62+M62*5.3%</f>
        <v>307.01631860283379</v>
      </c>
      <c r="O62" s="761">
        <f t="shared" ref="O62:O70" si="44">N62+N62*4.9%</f>
        <v>322.06011821437266</v>
      </c>
      <c r="P62" s="912">
        <f t="shared" ref="P62:P76" si="45">O62+O62*4.4%</f>
        <v>336.23076341580509</v>
      </c>
      <c r="Q62" s="761">
        <f t="shared" ref="Q62:Q76" si="46">P62+P62*3.7%</f>
        <v>348.67130166218988</v>
      </c>
      <c r="R62" s="761">
        <f t="shared" ref="R62:R76" si="47">Q62+Q62*3.3%</f>
        <v>360.17745461704214</v>
      </c>
      <c r="S62" s="761">
        <f t="shared" ref="S62:S76" si="48">R62+R62*3.2%</f>
        <v>371.70313316478752</v>
      </c>
    </row>
    <row r="63" spans="1:19" ht="16">
      <c r="A63" s="588">
        <v>29</v>
      </c>
      <c r="B63" s="588" t="s">
        <v>612</v>
      </c>
      <c r="C63" s="588"/>
      <c r="D63" s="588"/>
      <c r="E63" s="588"/>
      <c r="F63" s="588"/>
      <c r="G63" s="588"/>
      <c r="H63" s="592"/>
      <c r="I63" s="592"/>
      <c r="J63" s="592"/>
      <c r="K63" s="592"/>
      <c r="L63" s="592"/>
      <c r="M63" s="759"/>
      <c r="N63" s="761">
        <f t="shared" si="43"/>
        <v>0</v>
      </c>
      <c r="O63" s="761">
        <f t="shared" si="44"/>
        <v>0</v>
      </c>
      <c r="P63" s="912">
        <f t="shared" si="45"/>
        <v>0</v>
      </c>
      <c r="Q63" s="761">
        <f t="shared" si="46"/>
        <v>0</v>
      </c>
      <c r="R63" s="761">
        <f t="shared" si="47"/>
        <v>0</v>
      </c>
      <c r="S63" s="761">
        <f t="shared" si="48"/>
        <v>0</v>
      </c>
    </row>
    <row r="64" spans="1:19" ht="16">
      <c r="A64" s="589"/>
      <c r="B64" s="591" t="s">
        <v>613</v>
      </c>
      <c r="C64" s="588" t="s">
        <v>614</v>
      </c>
      <c r="D64" s="588" t="s">
        <v>615</v>
      </c>
      <c r="E64" s="588" t="s">
        <v>616</v>
      </c>
      <c r="F64" s="588" t="s">
        <v>617</v>
      </c>
      <c r="G64" s="588" t="s">
        <v>618</v>
      </c>
      <c r="H64" s="592">
        <v>1351.836</v>
      </c>
      <c r="I64" s="592">
        <f t="shared" ref="I64:J64" si="49">H64*5.3%+H64</f>
        <v>1423.4833080000001</v>
      </c>
      <c r="J64" s="592">
        <f t="shared" si="49"/>
        <v>1498.9279233240002</v>
      </c>
      <c r="K64" s="592">
        <f>J64*5.4%+J64</f>
        <v>1579.8700311834962</v>
      </c>
      <c r="L64" s="592">
        <f>K64*10%+K64</f>
        <v>1737.8570343018457</v>
      </c>
      <c r="M64" s="759">
        <f>L64*5%+L64</f>
        <v>1824.749886016938</v>
      </c>
      <c r="N64" s="761">
        <f t="shared" si="43"/>
        <v>1921.4616299758356</v>
      </c>
      <c r="O64" s="761">
        <f t="shared" si="44"/>
        <v>2015.6132498446516</v>
      </c>
      <c r="P64" s="912">
        <f t="shared" si="45"/>
        <v>2104.3002328378161</v>
      </c>
      <c r="Q64" s="761">
        <f t="shared" si="46"/>
        <v>2182.1593414528152</v>
      </c>
      <c r="R64" s="761">
        <f t="shared" si="47"/>
        <v>2254.1705997207582</v>
      </c>
      <c r="S64" s="761">
        <f t="shared" si="48"/>
        <v>2326.3040589118223</v>
      </c>
    </row>
    <row r="65" spans="1:19" ht="16">
      <c r="A65" s="588"/>
      <c r="B65" s="588" t="s">
        <v>619</v>
      </c>
      <c r="C65" s="588">
        <v>1157</v>
      </c>
      <c r="D65" s="588" t="s">
        <v>620</v>
      </c>
      <c r="E65" s="588" t="s">
        <v>621</v>
      </c>
      <c r="F65" s="588" t="s">
        <v>622</v>
      </c>
      <c r="G65" s="588" t="s">
        <v>623</v>
      </c>
      <c r="H65" s="592">
        <v>2099.7143999999998</v>
      </c>
      <c r="I65" s="592">
        <f t="shared" ref="I65:J65" si="50">H65*5.3%+H65</f>
        <v>2210.9992631999999</v>
      </c>
      <c r="J65" s="592">
        <f t="shared" si="50"/>
        <v>2328.1822241495997</v>
      </c>
      <c r="K65" s="592">
        <f>J65*5.4%+J65</f>
        <v>2453.9040642536779</v>
      </c>
      <c r="L65" s="592">
        <f>K65*10%+K65</f>
        <v>2699.2944706790458</v>
      </c>
      <c r="M65" s="759">
        <f>L65*5%+L65</f>
        <v>2834.259194212998</v>
      </c>
      <c r="N65" s="761">
        <f t="shared" si="43"/>
        <v>2984.4749315062868</v>
      </c>
      <c r="O65" s="761">
        <f t="shared" si="44"/>
        <v>3130.7142031500948</v>
      </c>
      <c r="P65" s="912">
        <f t="shared" si="45"/>
        <v>3268.4656280886988</v>
      </c>
      <c r="Q65" s="761">
        <f t="shared" si="46"/>
        <v>3389.3988563279809</v>
      </c>
      <c r="R65" s="761">
        <f t="shared" si="47"/>
        <v>3501.2490185868041</v>
      </c>
      <c r="S65" s="761">
        <f t="shared" si="48"/>
        <v>3613.2889871815819</v>
      </c>
    </row>
    <row r="66" spans="1:19">
      <c r="A66" s="589"/>
      <c r="B66" s="589"/>
      <c r="C66" s="590"/>
      <c r="D66" s="590"/>
      <c r="E66" s="590"/>
      <c r="F66" s="588"/>
      <c r="G66" s="588"/>
      <c r="H66" s="588"/>
      <c r="I66" s="592"/>
      <c r="J66" s="592"/>
      <c r="K66" s="592"/>
      <c r="L66" s="592"/>
      <c r="M66" s="759"/>
      <c r="N66" s="761">
        <f t="shared" si="43"/>
        <v>0</v>
      </c>
      <c r="O66" s="761">
        <f t="shared" si="44"/>
        <v>0</v>
      </c>
      <c r="P66" s="912">
        <f t="shared" si="45"/>
        <v>0</v>
      </c>
      <c r="Q66" s="761">
        <f t="shared" si="46"/>
        <v>0</v>
      </c>
      <c r="R66" s="761">
        <f t="shared" si="47"/>
        <v>0</v>
      </c>
      <c r="S66" s="761">
        <f t="shared" si="48"/>
        <v>0</v>
      </c>
    </row>
    <row r="67" spans="1:19" ht="32">
      <c r="A67" s="588">
        <v>30</v>
      </c>
      <c r="B67" s="593" t="s">
        <v>624</v>
      </c>
      <c r="C67" s="588" t="s">
        <v>625</v>
      </c>
      <c r="D67" s="588" t="s">
        <v>626</v>
      </c>
      <c r="E67" s="588" t="s">
        <v>627</v>
      </c>
      <c r="F67" s="588" t="s">
        <v>628</v>
      </c>
      <c r="G67" s="588" t="s">
        <v>629</v>
      </c>
      <c r="H67" s="602">
        <v>994.14</v>
      </c>
      <c r="I67" s="592">
        <f t="shared" ref="I67:J67" si="51">H67*5.3%+H67</f>
        <v>1046.82942</v>
      </c>
      <c r="J67" s="592">
        <f t="shared" si="51"/>
        <v>1102.31137926</v>
      </c>
      <c r="K67" s="592">
        <f>J67*5.4%+J67</f>
        <v>1161.83619374004</v>
      </c>
      <c r="L67" s="592">
        <f>K67*10%+K67</f>
        <v>1278.0198131140439</v>
      </c>
      <c r="M67" s="759">
        <f>L67*5%+L67</f>
        <v>1341.920803769746</v>
      </c>
      <c r="N67" s="761">
        <f t="shared" si="43"/>
        <v>1413.0426063695427</v>
      </c>
      <c r="O67" s="761">
        <f t="shared" si="44"/>
        <v>1482.2816940816504</v>
      </c>
      <c r="P67" s="912">
        <f t="shared" si="45"/>
        <v>1547.502088621243</v>
      </c>
      <c r="Q67" s="761">
        <f t="shared" si="46"/>
        <v>1604.759665900229</v>
      </c>
      <c r="R67" s="761">
        <f t="shared" si="47"/>
        <v>1657.7167348749365</v>
      </c>
      <c r="S67" s="761">
        <f t="shared" si="48"/>
        <v>1710.7636703909345</v>
      </c>
    </row>
    <row r="68" spans="1:19" ht="16">
      <c r="A68" s="588">
        <v>31</v>
      </c>
      <c r="B68" s="589" t="s">
        <v>630</v>
      </c>
      <c r="C68" s="590"/>
      <c r="D68" s="590"/>
      <c r="E68" s="590"/>
      <c r="F68" s="588"/>
      <c r="G68" s="588"/>
      <c r="H68" s="588"/>
      <c r="I68" s="592"/>
      <c r="J68" s="592"/>
      <c r="K68" s="592"/>
      <c r="L68" s="592"/>
      <c r="M68" s="759"/>
      <c r="N68" s="761">
        <f t="shared" si="43"/>
        <v>0</v>
      </c>
      <c r="O68" s="761">
        <f t="shared" si="44"/>
        <v>0</v>
      </c>
      <c r="P68" s="912">
        <f t="shared" si="45"/>
        <v>0</v>
      </c>
      <c r="Q68" s="761">
        <f t="shared" si="46"/>
        <v>0</v>
      </c>
      <c r="R68" s="761">
        <f t="shared" si="47"/>
        <v>0</v>
      </c>
      <c r="S68" s="761">
        <f t="shared" si="48"/>
        <v>0</v>
      </c>
    </row>
    <row r="69" spans="1:19" ht="16">
      <c r="A69" s="588"/>
      <c r="B69" s="591" t="s">
        <v>631</v>
      </c>
      <c r="C69" s="590" t="s">
        <v>632</v>
      </c>
      <c r="D69" s="590" t="s">
        <v>633</v>
      </c>
      <c r="E69" s="590" t="s">
        <v>634</v>
      </c>
      <c r="F69" s="588" t="s">
        <v>635</v>
      </c>
      <c r="G69" s="588" t="s">
        <v>636</v>
      </c>
      <c r="H69" s="592">
        <v>6121.0944000000009</v>
      </c>
      <c r="I69" s="592">
        <f t="shared" ref="I69:J69" si="52">H69*5.3%+H69</f>
        <v>6445.5124032000012</v>
      </c>
      <c r="J69" s="592">
        <f t="shared" si="52"/>
        <v>6787.1245605696013</v>
      </c>
      <c r="K69" s="592">
        <f>J69*5.4%+J69</f>
        <v>7153.6292868403598</v>
      </c>
      <c r="L69" s="592">
        <f>K69*10%+K69</f>
        <v>7868.9922155243958</v>
      </c>
      <c r="M69" s="759">
        <f>L69*5%+L69</f>
        <v>8262.4418263006155</v>
      </c>
      <c r="N69" s="761">
        <f t="shared" si="43"/>
        <v>8700.3512430945484</v>
      </c>
      <c r="O69" s="761">
        <f t="shared" si="44"/>
        <v>9126.6684540061815</v>
      </c>
      <c r="P69" s="912">
        <f t="shared" si="45"/>
        <v>9528.2418659824543</v>
      </c>
      <c r="Q69" s="761">
        <f t="shared" si="46"/>
        <v>9880.7868150238046</v>
      </c>
      <c r="R69" s="761">
        <f t="shared" si="47"/>
        <v>10206.852779919591</v>
      </c>
      <c r="S69" s="761">
        <f t="shared" si="48"/>
        <v>10533.472068877018</v>
      </c>
    </row>
    <row r="70" spans="1:19" ht="32">
      <c r="A70" s="588"/>
      <c r="B70" s="593" t="s">
        <v>637</v>
      </c>
      <c r="C70" s="588">
        <v>7513</v>
      </c>
      <c r="D70" s="588" t="s">
        <v>638</v>
      </c>
      <c r="E70" s="588" t="s">
        <v>639</v>
      </c>
      <c r="F70" s="588" t="s">
        <v>640</v>
      </c>
      <c r="G70" s="588" t="s">
        <v>641</v>
      </c>
      <c r="H70" s="592">
        <v>13634.481600000001</v>
      </c>
      <c r="I70" s="592">
        <f t="shared" ref="I70:J70" si="53">H70*5.3%+H70</f>
        <v>14357.109124800001</v>
      </c>
      <c r="J70" s="592">
        <f t="shared" si="53"/>
        <v>15118.035908414402</v>
      </c>
      <c r="K70" s="592">
        <f>J70*5.4%+J70</f>
        <v>15934.40984746878</v>
      </c>
      <c r="L70" s="592">
        <f>K70*10%+K70</f>
        <v>17527.850832215659</v>
      </c>
      <c r="M70" s="759">
        <f>L70*5%+L70</f>
        <v>18404.243373826441</v>
      </c>
      <c r="N70" s="761">
        <f t="shared" si="43"/>
        <v>19379.668272639243</v>
      </c>
      <c r="O70" s="761">
        <f t="shared" si="44"/>
        <v>20329.272017998566</v>
      </c>
      <c r="P70" s="912">
        <f t="shared" si="45"/>
        <v>21223.759986790505</v>
      </c>
      <c r="Q70" s="761">
        <f t="shared" si="46"/>
        <v>22009.039106301752</v>
      </c>
      <c r="R70" s="761">
        <f t="shared" si="47"/>
        <v>22735.337396809711</v>
      </c>
      <c r="S70" s="761">
        <f t="shared" si="48"/>
        <v>23462.868193507624</v>
      </c>
    </row>
    <row r="71" spans="1:19" ht="16">
      <c r="A71" s="588">
        <v>32</v>
      </c>
      <c r="B71" s="589" t="s">
        <v>642</v>
      </c>
      <c r="C71" s="590"/>
      <c r="D71" s="590"/>
      <c r="E71" s="590"/>
      <c r="F71" s="588"/>
      <c r="G71" s="588"/>
      <c r="H71" s="588"/>
      <c r="I71" s="592"/>
      <c r="J71" s="592"/>
      <c r="K71" s="592"/>
      <c r="L71" s="592"/>
      <c r="M71" s="759"/>
      <c r="N71" s="761"/>
      <c r="O71" s="761"/>
      <c r="P71" s="912">
        <f t="shared" si="45"/>
        <v>0</v>
      </c>
      <c r="Q71" s="761">
        <f t="shared" si="46"/>
        <v>0</v>
      </c>
      <c r="R71" s="761">
        <f t="shared" si="47"/>
        <v>0</v>
      </c>
      <c r="S71" s="761">
        <f t="shared" si="48"/>
        <v>0</v>
      </c>
    </row>
    <row r="72" spans="1:19" ht="16">
      <c r="A72" s="588"/>
      <c r="B72" s="591" t="s">
        <v>643</v>
      </c>
      <c r="C72" s="590"/>
      <c r="D72" s="590"/>
      <c r="E72" s="590"/>
      <c r="F72" s="588"/>
      <c r="G72" s="588"/>
      <c r="H72" s="588"/>
      <c r="I72" s="592"/>
      <c r="J72" s="592"/>
      <c r="K72" s="592"/>
      <c r="L72" s="592"/>
      <c r="M72" s="759"/>
      <c r="N72" s="761"/>
      <c r="O72" s="761"/>
      <c r="P72" s="912">
        <f t="shared" si="45"/>
        <v>0</v>
      </c>
      <c r="Q72" s="761">
        <f t="shared" si="46"/>
        <v>0</v>
      </c>
      <c r="R72" s="761">
        <f t="shared" si="47"/>
        <v>0</v>
      </c>
      <c r="S72" s="761">
        <f t="shared" si="48"/>
        <v>0</v>
      </c>
    </row>
    <row r="73" spans="1:19" ht="29.25" customHeight="1">
      <c r="A73" s="588"/>
      <c r="B73" s="593" t="s">
        <v>644</v>
      </c>
      <c r="C73" s="588" t="s">
        <v>645</v>
      </c>
      <c r="D73" s="588" t="s">
        <v>646</v>
      </c>
      <c r="E73" s="588" t="s">
        <v>647</v>
      </c>
      <c r="F73" s="588" t="s">
        <v>648</v>
      </c>
      <c r="G73" s="588" t="s">
        <v>649</v>
      </c>
      <c r="H73" s="592">
        <v>1466.8344</v>
      </c>
      <c r="I73" s="592">
        <f t="shared" ref="I73:J73" si="54">H73*5.3%+H73</f>
        <v>1544.5766231999999</v>
      </c>
      <c r="J73" s="592">
        <f t="shared" si="54"/>
        <v>1626.4391842296</v>
      </c>
      <c r="K73" s="592">
        <f t="shared" ref="K73:K76" si="55">J73*5.4%+J73</f>
        <v>1714.2669001779984</v>
      </c>
      <c r="L73" s="592">
        <f t="shared" ref="L73:L76" si="56">K73*10%+K73</f>
        <v>1885.6935901957982</v>
      </c>
      <c r="M73" s="759">
        <f>L73*5%+L73</f>
        <v>1979.978269705588</v>
      </c>
      <c r="N73" s="761">
        <f>M73+M73*5.3%</f>
        <v>2084.9171179999839</v>
      </c>
      <c r="O73" s="761">
        <f>N73+N73*4.9%</f>
        <v>2187.0780567819829</v>
      </c>
      <c r="P73" s="912">
        <f t="shared" si="45"/>
        <v>2283.3094912803904</v>
      </c>
      <c r="Q73" s="761">
        <f t="shared" si="46"/>
        <v>2367.7919424577649</v>
      </c>
      <c r="R73" s="761">
        <f t="shared" si="47"/>
        <v>2445.9290765588712</v>
      </c>
      <c r="S73" s="761">
        <f t="shared" si="48"/>
        <v>2524.198807008755</v>
      </c>
    </row>
    <row r="74" spans="1:19" ht="16">
      <c r="A74" s="588"/>
      <c r="B74" s="591" t="s">
        <v>650</v>
      </c>
      <c r="C74" s="590" t="s">
        <v>651</v>
      </c>
      <c r="D74" s="590" t="s">
        <v>652</v>
      </c>
      <c r="E74" s="590" t="s">
        <v>653</v>
      </c>
      <c r="F74" s="588" t="s">
        <v>654</v>
      </c>
      <c r="G74" s="588" t="s">
        <v>655</v>
      </c>
      <c r="H74" s="592">
        <v>2083.1039999999998</v>
      </c>
      <c r="I74" s="592">
        <f t="shared" ref="I74:J74" si="57">H74*5.3%+H74</f>
        <v>2193.5085119999999</v>
      </c>
      <c r="J74" s="592">
        <f t="shared" si="57"/>
        <v>2309.7644631359999</v>
      </c>
      <c r="K74" s="592">
        <f t="shared" si="55"/>
        <v>2434.491744145344</v>
      </c>
      <c r="L74" s="592">
        <f t="shared" si="56"/>
        <v>2677.9409185598784</v>
      </c>
      <c r="M74" s="759">
        <f>L74*5%+L74</f>
        <v>2811.8379644878723</v>
      </c>
      <c r="N74" s="761">
        <f>M74+M74*5.3%</f>
        <v>2960.8653766057296</v>
      </c>
      <c r="O74" s="761">
        <f>N74+N74*4.9%</f>
        <v>3105.9477800594104</v>
      </c>
      <c r="P74" s="912">
        <f t="shared" si="45"/>
        <v>3242.6094823820245</v>
      </c>
      <c r="Q74" s="761">
        <f t="shared" si="46"/>
        <v>3362.5860332301595</v>
      </c>
      <c r="R74" s="761">
        <f t="shared" si="47"/>
        <v>3473.551372326755</v>
      </c>
      <c r="S74" s="761">
        <f t="shared" si="48"/>
        <v>3584.7050162412111</v>
      </c>
    </row>
    <row r="75" spans="1:19" ht="16">
      <c r="A75" s="588"/>
      <c r="B75" s="591" t="s">
        <v>656</v>
      </c>
      <c r="C75" s="590" t="s">
        <v>657</v>
      </c>
      <c r="D75" s="590" t="s">
        <v>658</v>
      </c>
      <c r="E75" s="590" t="s">
        <v>659</v>
      </c>
      <c r="F75" s="588" t="s">
        <v>660</v>
      </c>
      <c r="G75" s="588" t="s">
        <v>661</v>
      </c>
      <c r="H75" s="592">
        <v>4399.5744000000004</v>
      </c>
      <c r="I75" s="592">
        <f t="shared" ref="I75:J75" si="58">H75*5.3%+H75</f>
        <v>4632.7518432000006</v>
      </c>
      <c r="J75" s="592">
        <f t="shared" si="58"/>
        <v>4878.2876908896005</v>
      </c>
      <c r="K75" s="592">
        <f t="shared" si="55"/>
        <v>5141.7152261976389</v>
      </c>
      <c r="L75" s="592">
        <f t="shared" si="56"/>
        <v>5655.8867488174028</v>
      </c>
      <c r="M75" s="759">
        <f>L75*5%+L75</f>
        <v>5938.6810862582734</v>
      </c>
      <c r="N75" s="761">
        <f>M75+M75*5.3%</f>
        <v>6253.4311838299618</v>
      </c>
      <c r="O75" s="761">
        <f>N75+N75*4.9%</f>
        <v>6559.84931183763</v>
      </c>
      <c r="P75" s="912">
        <f t="shared" si="45"/>
        <v>6848.4826815584856</v>
      </c>
      <c r="Q75" s="761">
        <f t="shared" si="46"/>
        <v>7101.8765407761493</v>
      </c>
      <c r="R75" s="761">
        <f t="shared" si="47"/>
        <v>7336.2384666217622</v>
      </c>
      <c r="S75" s="761">
        <f t="shared" si="48"/>
        <v>7570.9980975536582</v>
      </c>
    </row>
    <row r="76" spans="1:19" ht="16">
      <c r="A76" s="588"/>
      <c r="B76" s="591" t="s">
        <v>662</v>
      </c>
      <c r="C76" s="590" t="s">
        <v>663</v>
      </c>
      <c r="D76" s="590" t="s">
        <v>664</v>
      </c>
      <c r="E76" s="590" t="s">
        <v>665</v>
      </c>
      <c r="F76" s="588" t="s">
        <v>666</v>
      </c>
      <c r="G76" s="588" t="s">
        <v>667</v>
      </c>
      <c r="H76" s="592">
        <v>6976.2168000000001</v>
      </c>
      <c r="I76" s="592">
        <f t="shared" ref="I76:J76" si="59">H76*5.3%+H76</f>
        <v>7345.9562904000004</v>
      </c>
      <c r="J76" s="592">
        <f t="shared" si="59"/>
        <v>7735.2919737912007</v>
      </c>
      <c r="K76" s="592">
        <f t="shared" si="55"/>
        <v>8152.9977403759258</v>
      </c>
      <c r="L76" s="592">
        <f t="shared" si="56"/>
        <v>8968.297514413518</v>
      </c>
      <c r="M76" s="759">
        <f>L76*5%+L76</f>
        <v>9416.7123901341947</v>
      </c>
      <c r="N76" s="761">
        <f>M76+M76*5.3%</f>
        <v>9915.7981468113067</v>
      </c>
      <c r="O76" s="761">
        <f>N76+N76*4.9%</f>
        <v>10401.67225600506</v>
      </c>
      <c r="P76" s="912">
        <f t="shared" si="45"/>
        <v>10859.345835269283</v>
      </c>
      <c r="Q76" s="761">
        <f t="shared" si="46"/>
        <v>11261.141631174247</v>
      </c>
      <c r="R76" s="761">
        <f t="shared" si="47"/>
        <v>11632.759305002997</v>
      </c>
      <c r="S76" s="761">
        <f t="shared" si="48"/>
        <v>12005.007602763093</v>
      </c>
    </row>
    <row r="77" spans="1:19" ht="16">
      <c r="A77" s="588"/>
      <c r="B77" s="591" t="s">
        <v>668</v>
      </c>
      <c r="C77" s="590" t="s">
        <v>669</v>
      </c>
      <c r="D77" s="590" t="s">
        <v>669</v>
      </c>
      <c r="E77" s="590" t="s">
        <v>669</v>
      </c>
      <c r="F77" s="588" t="s">
        <v>669</v>
      </c>
      <c r="G77" s="588" t="s">
        <v>669</v>
      </c>
      <c r="H77" s="588" t="s">
        <v>669</v>
      </c>
      <c r="I77" s="588" t="s">
        <v>669</v>
      </c>
      <c r="J77" s="588" t="s">
        <v>669</v>
      </c>
      <c r="K77" s="588" t="s">
        <v>669</v>
      </c>
      <c r="L77" s="588" t="s">
        <v>669</v>
      </c>
      <c r="M77" s="757" t="s">
        <v>669</v>
      </c>
      <c r="N77" s="588" t="s">
        <v>669</v>
      </c>
      <c r="O77" s="588" t="s">
        <v>669</v>
      </c>
      <c r="P77" s="911" t="s">
        <v>669</v>
      </c>
      <c r="Q77" s="761" t="s">
        <v>669</v>
      </c>
      <c r="R77" s="761" t="s">
        <v>669</v>
      </c>
      <c r="S77" s="761" t="s">
        <v>669</v>
      </c>
    </row>
    <row r="78" spans="1:19" ht="16">
      <c r="A78" s="588"/>
      <c r="B78" s="591" t="s">
        <v>670</v>
      </c>
      <c r="C78" s="590" t="s">
        <v>671</v>
      </c>
      <c r="D78" s="590"/>
      <c r="E78" s="590"/>
      <c r="F78" s="588"/>
      <c r="G78" s="588"/>
      <c r="H78" s="588"/>
      <c r="I78" s="592"/>
      <c r="J78" s="592"/>
      <c r="K78" s="592"/>
      <c r="L78" s="592"/>
      <c r="M78" s="759"/>
      <c r="N78" s="761"/>
      <c r="O78" s="761"/>
      <c r="P78" s="910"/>
      <c r="Q78" s="761"/>
      <c r="R78" s="761"/>
      <c r="S78" s="761"/>
    </row>
    <row r="79" spans="1:19" ht="32">
      <c r="A79" s="588">
        <v>33</v>
      </c>
      <c r="B79" s="593" t="s">
        <v>672</v>
      </c>
      <c r="C79" s="588" t="s">
        <v>673</v>
      </c>
      <c r="D79" s="588" t="s">
        <v>674</v>
      </c>
      <c r="E79" s="588" t="s">
        <v>675</v>
      </c>
      <c r="F79" s="588" t="s">
        <v>676</v>
      </c>
      <c r="G79" s="588" t="s">
        <v>677</v>
      </c>
      <c r="H79" s="592">
        <v>1354.8707999999999</v>
      </c>
      <c r="I79" s="592">
        <f t="shared" ref="I79:J79" si="60">H79*5.3%+H79</f>
        <v>1426.6789523999998</v>
      </c>
      <c r="J79" s="592">
        <f t="shared" si="60"/>
        <v>1502.2929368771997</v>
      </c>
      <c r="K79" s="592">
        <f>J79*5.4%+J79</f>
        <v>1583.4167554685685</v>
      </c>
      <c r="L79" s="592">
        <f>K79*10%+K79</f>
        <v>1741.7584310154252</v>
      </c>
      <c r="M79" s="759">
        <f>L79*5%+L79</f>
        <v>1828.8463525661964</v>
      </c>
      <c r="N79" s="761">
        <f t="shared" ref="N79:N84" si="61">M79+M79*5.3%</f>
        <v>1925.7752092522048</v>
      </c>
      <c r="O79" s="761">
        <f t="shared" ref="O79:O84" si="62">N79+N79*4.9%</f>
        <v>2020.1381945055628</v>
      </c>
      <c r="P79" s="912">
        <f t="shared" ref="P79:P84" si="63">O79+O79*4.4%</f>
        <v>2109.0242750638076</v>
      </c>
      <c r="Q79" s="761">
        <f t="shared" ref="Q79:Q84" si="64">P79+P79*3.7%</f>
        <v>2187.0581732411683</v>
      </c>
      <c r="R79" s="761">
        <f t="shared" ref="R79:R84" si="65">Q79+Q79*3.3%</f>
        <v>2259.2310929581267</v>
      </c>
      <c r="S79" s="761">
        <f t="shared" ref="S79:S84" si="66">R79+R79*3.2%</f>
        <v>2331.5264879327869</v>
      </c>
    </row>
    <row r="80" spans="1:19" ht="32">
      <c r="A80" s="588">
        <v>34</v>
      </c>
      <c r="B80" s="593" t="s">
        <v>678</v>
      </c>
      <c r="C80" s="588" t="s">
        <v>679</v>
      </c>
      <c r="D80" s="588">
        <v>151</v>
      </c>
      <c r="E80" s="588" t="s">
        <v>680</v>
      </c>
      <c r="F80" s="588" t="s">
        <v>681</v>
      </c>
      <c r="G80" s="588" t="s">
        <v>682</v>
      </c>
      <c r="H80" s="592">
        <v>194.22720000000001</v>
      </c>
      <c r="I80" s="592">
        <f t="shared" ref="I80:J80" si="67">H80*5.3%+H80</f>
        <v>204.5212416</v>
      </c>
      <c r="J80" s="592">
        <f t="shared" si="67"/>
        <v>215.36086740479999</v>
      </c>
      <c r="K80" s="592">
        <f>J80*5.4%+J80</f>
        <v>226.99035424465919</v>
      </c>
      <c r="L80" s="592">
        <f>K80*10%+K80</f>
        <v>249.68938966912509</v>
      </c>
      <c r="M80" s="759">
        <f>L80*5%+L80</f>
        <v>262.17385915258137</v>
      </c>
      <c r="N80" s="761">
        <f t="shared" si="61"/>
        <v>276.06907368766821</v>
      </c>
      <c r="O80" s="761">
        <f t="shared" si="62"/>
        <v>289.59645829836393</v>
      </c>
      <c r="P80" s="912">
        <f t="shared" si="63"/>
        <v>302.33870246349193</v>
      </c>
      <c r="Q80" s="761">
        <f t="shared" si="64"/>
        <v>313.52523445464112</v>
      </c>
      <c r="R80" s="761">
        <f t="shared" si="65"/>
        <v>323.87156719164426</v>
      </c>
      <c r="S80" s="761">
        <f t="shared" si="66"/>
        <v>334.23545734177685</v>
      </c>
    </row>
    <row r="81" spans="1:19" ht="16">
      <c r="A81" s="588">
        <v>35</v>
      </c>
      <c r="B81" s="589" t="s">
        <v>683</v>
      </c>
      <c r="C81" s="590"/>
      <c r="D81" s="590"/>
      <c r="E81" s="590"/>
      <c r="F81" s="588"/>
      <c r="G81" s="588"/>
      <c r="H81" s="588"/>
      <c r="I81" s="592"/>
      <c r="J81" s="592"/>
      <c r="K81" s="592"/>
      <c r="L81" s="592"/>
      <c r="M81" s="759"/>
      <c r="N81" s="761">
        <f t="shared" si="61"/>
        <v>0</v>
      </c>
      <c r="O81" s="761">
        <f t="shared" si="62"/>
        <v>0</v>
      </c>
      <c r="P81" s="912">
        <f t="shared" si="63"/>
        <v>0</v>
      </c>
      <c r="Q81" s="761">
        <f t="shared" si="64"/>
        <v>0</v>
      </c>
      <c r="R81" s="761">
        <f t="shared" si="65"/>
        <v>0</v>
      </c>
      <c r="S81" s="761">
        <f t="shared" si="66"/>
        <v>0</v>
      </c>
    </row>
    <row r="82" spans="1:19" ht="16">
      <c r="A82" s="588"/>
      <c r="B82" s="591" t="s">
        <v>684</v>
      </c>
      <c r="C82" s="590" t="s">
        <v>685</v>
      </c>
      <c r="D82" s="590" t="s">
        <v>686</v>
      </c>
      <c r="E82" s="590" t="s">
        <v>687</v>
      </c>
      <c r="F82" s="588" t="s">
        <v>688</v>
      </c>
      <c r="G82" s="588" t="s">
        <v>689</v>
      </c>
      <c r="H82" s="592">
        <v>943.14239999999995</v>
      </c>
      <c r="I82" s="592">
        <f t="shared" ref="I82:J82" si="68">H82*5.3%+H82</f>
        <v>993.12894719999997</v>
      </c>
      <c r="J82" s="592">
        <f t="shared" si="68"/>
        <v>1045.7647814016</v>
      </c>
      <c r="K82" s="592">
        <f t="shared" ref="K82:K84" si="69">J82*5.4%+J82</f>
        <v>1102.2360795972863</v>
      </c>
      <c r="L82" s="592">
        <f t="shared" ref="L82:L84" si="70">K82*10%+K82</f>
        <v>1212.4596875570151</v>
      </c>
      <c r="M82" s="759">
        <f>L82*5%+L82</f>
        <v>1273.0826719348659</v>
      </c>
      <c r="N82" s="761">
        <f t="shared" si="61"/>
        <v>1340.5560535474137</v>
      </c>
      <c r="O82" s="761">
        <f t="shared" si="62"/>
        <v>1406.243300171237</v>
      </c>
      <c r="P82" s="912">
        <f t="shared" si="63"/>
        <v>1468.1180053787714</v>
      </c>
      <c r="Q82" s="761">
        <f t="shared" si="64"/>
        <v>1522.438371577786</v>
      </c>
      <c r="R82" s="761">
        <f t="shared" si="65"/>
        <v>1572.678837839853</v>
      </c>
      <c r="S82" s="761">
        <f t="shared" si="66"/>
        <v>1623.0045606507283</v>
      </c>
    </row>
    <row r="83" spans="1:19" ht="16">
      <c r="A83" s="588"/>
      <c r="B83" s="591" t="s">
        <v>690</v>
      </c>
      <c r="C83" s="590" t="s">
        <v>691</v>
      </c>
      <c r="D83" s="590" t="s">
        <v>692</v>
      </c>
      <c r="E83" s="590" t="s">
        <v>693</v>
      </c>
      <c r="F83" s="588" t="s">
        <v>694</v>
      </c>
      <c r="G83" s="588" t="s">
        <v>695</v>
      </c>
      <c r="H83" s="592">
        <v>1250.8668</v>
      </c>
      <c r="I83" s="592">
        <f t="shared" ref="I83:J83" si="71">H83*5.3%+H83</f>
        <v>1317.1627404000001</v>
      </c>
      <c r="J83" s="592">
        <f t="shared" si="71"/>
        <v>1386.9723656412</v>
      </c>
      <c r="K83" s="592">
        <f t="shared" si="69"/>
        <v>1461.8688733858248</v>
      </c>
      <c r="L83" s="592">
        <f t="shared" si="70"/>
        <v>1608.0557607244073</v>
      </c>
      <c r="M83" s="759">
        <f>L83*5%+L83</f>
        <v>1688.4585487606275</v>
      </c>
      <c r="N83" s="761">
        <f t="shared" si="61"/>
        <v>1777.9468518449407</v>
      </c>
      <c r="O83" s="761">
        <f t="shared" si="62"/>
        <v>1865.0662475853428</v>
      </c>
      <c r="P83" s="912">
        <f t="shared" si="63"/>
        <v>1947.1291624790979</v>
      </c>
      <c r="Q83" s="761">
        <f t="shared" si="64"/>
        <v>2019.1729414908245</v>
      </c>
      <c r="R83" s="761">
        <f t="shared" si="65"/>
        <v>2085.8056485600218</v>
      </c>
      <c r="S83" s="761">
        <f t="shared" si="66"/>
        <v>2152.5514293139427</v>
      </c>
    </row>
    <row r="84" spans="1:19" ht="16">
      <c r="A84" s="588"/>
      <c r="B84" s="591" t="s">
        <v>696</v>
      </c>
      <c r="C84" s="590" t="s">
        <v>697</v>
      </c>
      <c r="D84" s="590" t="s">
        <v>698</v>
      </c>
      <c r="E84" s="590" t="s">
        <v>699</v>
      </c>
      <c r="F84" s="588" t="s">
        <v>700</v>
      </c>
      <c r="G84" s="588" t="s">
        <v>701</v>
      </c>
      <c r="H84" s="592">
        <v>2201.0832</v>
      </c>
      <c r="I84" s="592">
        <f t="shared" ref="I84:J84" si="72">H84*5.3%+H84</f>
        <v>2317.7406096</v>
      </c>
      <c r="J84" s="592">
        <f t="shared" si="72"/>
        <v>2440.5808619087998</v>
      </c>
      <c r="K84" s="592">
        <f t="shared" si="69"/>
        <v>2572.3722284518749</v>
      </c>
      <c r="L84" s="592">
        <f t="shared" si="70"/>
        <v>2829.6094512970622</v>
      </c>
      <c r="M84" s="759">
        <f>L84*5%+L84</f>
        <v>2971.0899238619154</v>
      </c>
      <c r="N84" s="761">
        <f t="shared" si="61"/>
        <v>3128.5576898265967</v>
      </c>
      <c r="O84" s="761">
        <f t="shared" si="62"/>
        <v>3281.8570166281002</v>
      </c>
      <c r="P84" s="912">
        <f t="shared" si="63"/>
        <v>3426.2587253597367</v>
      </c>
      <c r="Q84" s="761">
        <f t="shared" si="64"/>
        <v>3553.0302981980471</v>
      </c>
      <c r="R84" s="761">
        <f t="shared" si="65"/>
        <v>3670.2802980385827</v>
      </c>
      <c r="S84" s="761">
        <f t="shared" si="66"/>
        <v>3787.7292675758172</v>
      </c>
    </row>
    <row r="85" spans="1:19" ht="15" customHeight="1">
      <c r="A85" s="588"/>
      <c r="B85" s="591" t="s">
        <v>702</v>
      </c>
      <c r="C85" s="590" t="s">
        <v>703</v>
      </c>
      <c r="D85" s="590" t="s">
        <v>703</v>
      </c>
      <c r="E85" s="590" t="s">
        <v>703</v>
      </c>
      <c r="F85" s="588" t="s">
        <v>703</v>
      </c>
      <c r="G85" s="588" t="s">
        <v>703</v>
      </c>
      <c r="H85" s="588" t="s">
        <v>703</v>
      </c>
      <c r="I85" s="588" t="s">
        <v>703</v>
      </c>
      <c r="J85" s="588" t="s">
        <v>703</v>
      </c>
      <c r="K85" s="588" t="s">
        <v>703</v>
      </c>
      <c r="L85" s="588" t="s">
        <v>703</v>
      </c>
      <c r="M85" s="757" t="s">
        <v>703</v>
      </c>
      <c r="N85" s="588" t="s">
        <v>703</v>
      </c>
      <c r="O85" s="588" t="s">
        <v>703</v>
      </c>
      <c r="P85" s="911" t="s">
        <v>703</v>
      </c>
      <c r="Q85" s="761" t="s">
        <v>703</v>
      </c>
      <c r="R85" s="761" t="s">
        <v>703</v>
      </c>
      <c r="S85" s="761" t="s">
        <v>703</v>
      </c>
    </row>
    <row r="86" spans="1:19">
      <c r="A86" s="588"/>
      <c r="B86" s="591"/>
      <c r="C86" s="590"/>
      <c r="D86" s="590"/>
      <c r="E86" s="590"/>
      <c r="F86" s="588"/>
      <c r="G86" s="588"/>
      <c r="H86" s="588"/>
      <c r="I86" s="592"/>
      <c r="J86" s="592"/>
      <c r="K86" s="592"/>
      <c r="L86" s="592"/>
      <c r="M86" s="759"/>
      <c r="N86" s="761"/>
      <c r="O86" s="761"/>
      <c r="P86" s="910"/>
      <c r="Q86" s="761"/>
      <c r="R86" s="761"/>
      <c r="S86" s="761"/>
    </row>
    <row r="87" spans="1:19" ht="60" customHeight="1">
      <c r="A87" s="588">
        <v>36</v>
      </c>
      <c r="B87" s="589" t="s">
        <v>704</v>
      </c>
      <c r="C87" s="590"/>
      <c r="D87" s="590"/>
      <c r="E87" s="590"/>
      <c r="F87" s="588"/>
      <c r="G87" s="588"/>
      <c r="H87" s="588"/>
      <c r="I87" s="592"/>
      <c r="J87" s="592"/>
      <c r="K87" s="592"/>
      <c r="L87" s="592"/>
      <c r="M87" s="759"/>
      <c r="N87" s="761"/>
      <c r="O87" s="761"/>
      <c r="P87" s="910"/>
      <c r="Q87" s="761"/>
      <c r="R87" s="761"/>
      <c r="S87" s="761"/>
    </row>
    <row r="88" spans="1:19" ht="16">
      <c r="A88" s="588"/>
      <c r="B88" s="591" t="s">
        <v>705</v>
      </c>
      <c r="C88" s="590" t="s">
        <v>706</v>
      </c>
      <c r="D88" s="590" t="s">
        <v>707</v>
      </c>
      <c r="E88" s="590" t="s">
        <v>708</v>
      </c>
      <c r="F88" s="588" t="s">
        <v>709</v>
      </c>
      <c r="G88" s="588" t="s">
        <v>710</v>
      </c>
      <c r="H88" s="592">
        <f>1065.78*108/100</f>
        <v>1151.0423999999998</v>
      </c>
      <c r="I88" s="592">
        <f t="shared" ref="I88:J88" si="73">H88*5.3%+H88</f>
        <v>1212.0476471999998</v>
      </c>
      <c r="J88" s="592">
        <f t="shared" si="73"/>
        <v>1276.2861725015998</v>
      </c>
      <c r="K88" s="592">
        <f>J88*5.4%+J88</f>
        <v>1345.2056258166863</v>
      </c>
      <c r="L88" s="592">
        <f>K88*10%+K88</f>
        <v>1479.7261883983549</v>
      </c>
      <c r="M88" s="759">
        <f>L88*5%+L88</f>
        <v>1553.7124978182726</v>
      </c>
      <c r="N88" s="761">
        <f t="shared" ref="N88:N114" si="74">M88+M88*5.3%</f>
        <v>1636.0592602026411</v>
      </c>
      <c r="O88" s="761">
        <f t="shared" ref="O88:O114" si="75">N88+N88*4.9%</f>
        <v>1716.2261639525705</v>
      </c>
      <c r="P88" s="912">
        <f t="shared" ref="P88:P121" si="76">O88+O88*4.4%</f>
        <v>1791.7401151664835</v>
      </c>
      <c r="Q88" s="761">
        <f t="shared" ref="Q88:Q121" si="77">P88+P88*3.7%</f>
        <v>1858.0344994276434</v>
      </c>
      <c r="R88" s="761">
        <f t="shared" ref="R88:R121" si="78">Q88+Q88*3.3%</f>
        <v>1919.3496379087555</v>
      </c>
      <c r="S88" s="761">
        <f t="shared" ref="S88:S121" si="79">R88+R88*3.2%</f>
        <v>1980.7688263218356</v>
      </c>
    </row>
    <row r="89" spans="1:19" ht="16">
      <c r="A89" s="588"/>
      <c r="B89" s="591" t="s">
        <v>711</v>
      </c>
      <c r="C89" s="590" t="s">
        <v>712</v>
      </c>
      <c r="D89" s="590" t="s">
        <v>713</v>
      </c>
      <c r="E89" s="590" t="s">
        <v>714</v>
      </c>
      <c r="F89" s="588" t="s">
        <v>715</v>
      </c>
      <c r="G89" s="588" t="s">
        <v>716</v>
      </c>
      <c r="H89" s="592">
        <v>2636.2259999999997</v>
      </c>
      <c r="I89" s="592">
        <f t="shared" ref="I89:J89" si="80">H89*5.3%+H89</f>
        <v>2775.9459779999997</v>
      </c>
      <c r="J89" s="592">
        <f t="shared" si="80"/>
        <v>2923.0711148339997</v>
      </c>
      <c r="K89" s="592">
        <f>J89*5.4%+J89</f>
        <v>3080.9169550350357</v>
      </c>
      <c r="L89" s="592">
        <f>K89*10%+K89</f>
        <v>3389.0086505385393</v>
      </c>
      <c r="M89" s="759">
        <f>L89*5%+L89</f>
        <v>3558.4590830654661</v>
      </c>
      <c r="N89" s="761">
        <f t="shared" si="74"/>
        <v>3747.0574144679358</v>
      </c>
      <c r="O89" s="761">
        <f t="shared" si="75"/>
        <v>3930.6632277768649</v>
      </c>
      <c r="P89" s="912">
        <f t="shared" si="76"/>
        <v>4103.6124097990469</v>
      </c>
      <c r="Q89" s="761">
        <f t="shared" si="77"/>
        <v>4255.4460689616117</v>
      </c>
      <c r="R89" s="761">
        <f t="shared" si="78"/>
        <v>4395.8757892373451</v>
      </c>
      <c r="S89" s="761">
        <f t="shared" si="79"/>
        <v>4536.5438144929403</v>
      </c>
    </row>
    <row r="90" spans="1:19" ht="16">
      <c r="A90" s="588">
        <v>37</v>
      </c>
      <c r="B90" s="589" t="s">
        <v>717</v>
      </c>
      <c r="C90" s="590"/>
      <c r="D90" s="590"/>
      <c r="E90" s="590"/>
      <c r="F90" s="588"/>
      <c r="G90" s="588"/>
      <c r="H90" s="588"/>
      <c r="I90" s="592"/>
      <c r="J90" s="592"/>
      <c r="K90" s="592"/>
      <c r="L90" s="592"/>
      <c r="M90" s="759"/>
      <c r="N90" s="761">
        <f t="shared" si="74"/>
        <v>0</v>
      </c>
      <c r="O90" s="761">
        <f t="shared" si="75"/>
        <v>0</v>
      </c>
      <c r="P90" s="912">
        <f t="shared" si="76"/>
        <v>0</v>
      </c>
      <c r="Q90" s="761">
        <f t="shared" si="77"/>
        <v>0</v>
      </c>
      <c r="R90" s="761">
        <f t="shared" si="78"/>
        <v>0</v>
      </c>
      <c r="S90" s="761">
        <f t="shared" si="79"/>
        <v>0</v>
      </c>
    </row>
    <row r="91" spans="1:19" ht="16">
      <c r="A91" s="588"/>
      <c r="B91" s="593" t="s">
        <v>718</v>
      </c>
      <c r="C91" s="588" t="s">
        <v>719</v>
      </c>
      <c r="D91" s="588" t="s">
        <v>720</v>
      </c>
      <c r="E91" s="588" t="s">
        <v>721</v>
      </c>
      <c r="F91" s="588" t="s">
        <v>722</v>
      </c>
      <c r="G91" s="588" t="s">
        <v>723</v>
      </c>
      <c r="H91" s="592">
        <v>106.7148</v>
      </c>
      <c r="I91" s="592">
        <f t="shared" ref="I91:J91" si="81">H91*5.3%+H91</f>
        <v>112.3706844</v>
      </c>
      <c r="J91" s="592">
        <f t="shared" si="81"/>
        <v>118.3263306732</v>
      </c>
      <c r="K91" s="592">
        <f t="shared" ref="K91:K114" si="82">J91*5.4%+J91</f>
        <v>124.71595252955281</v>
      </c>
      <c r="L91" s="592">
        <f t="shared" ref="L91:L114" si="83">K91*10%+K91</f>
        <v>137.18754778250809</v>
      </c>
      <c r="M91" s="759">
        <f t="shared" ref="M91:M114" si="84">L91*5%+L91</f>
        <v>144.04692517163349</v>
      </c>
      <c r="N91" s="761">
        <f t="shared" si="74"/>
        <v>151.68141220573006</v>
      </c>
      <c r="O91" s="761">
        <f t="shared" si="75"/>
        <v>159.11380140381084</v>
      </c>
      <c r="P91" s="912">
        <f t="shared" si="76"/>
        <v>166.11480866557852</v>
      </c>
      <c r="Q91" s="761">
        <f t="shared" si="77"/>
        <v>172.26105658620492</v>
      </c>
      <c r="R91" s="761">
        <f t="shared" si="78"/>
        <v>177.94567145354966</v>
      </c>
      <c r="S91" s="761">
        <f t="shared" si="79"/>
        <v>183.63993294006326</v>
      </c>
    </row>
    <row r="92" spans="1:19" ht="16">
      <c r="A92" s="588"/>
      <c r="B92" s="593" t="s">
        <v>724</v>
      </c>
      <c r="C92" s="588" t="s">
        <v>725</v>
      </c>
      <c r="D92" s="590" t="s">
        <v>726</v>
      </c>
      <c r="E92" s="588" t="s">
        <v>727</v>
      </c>
      <c r="F92" s="588" t="s">
        <v>728</v>
      </c>
      <c r="G92" s="588" t="s">
        <v>729</v>
      </c>
      <c r="H92" s="592">
        <v>62.024399999999993</v>
      </c>
      <c r="I92" s="592">
        <f t="shared" ref="I92:J92" si="85">H92*5.3%+H92</f>
        <v>65.311693199999993</v>
      </c>
      <c r="J92" s="592">
        <f t="shared" si="85"/>
        <v>68.773212939599986</v>
      </c>
      <c r="K92" s="592">
        <f t="shared" si="82"/>
        <v>72.486966438338385</v>
      </c>
      <c r="L92" s="592">
        <f t="shared" si="83"/>
        <v>79.735663082172223</v>
      </c>
      <c r="M92" s="759">
        <f t="shared" si="84"/>
        <v>83.722446236280831</v>
      </c>
      <c r="N92" s="761">
        <f t="shared" si="74"/>
        <v>88.159735886803716</v>
      </c>
      <c r="O92" s="761">
        <f t="shared" si="75"/>
        <v>92.479562945257101</v>
      </c>
      <c r="P92" s="912">
        <f t="shared" si="76"/>
        <v>96.548663714848416</v>
      </c>
      <c r="Q92" s="761">
        <f t="shared" si="77"/>
        <v>100.12096427229781</v>
      </c>
      <c r="R92" s="761">
        <f t="shared" si="78"/>
        <v>103.42495609328364</v>
      </c>
      <c r="S92" s="761">
        <f t="shared" si="79"/>
        <v>106.73455468826872</v>
      </c>
    </row>
    <row r="93" spans="1:19" ht="16">
      <c r="A93" s="588"/>
      <c r="B93" s="593" t="s">
        <v>730</v>
      </c>
      <c r="C93" s="588" t="s">
        <v>731</v>
      </c>
      <c r="D93" s="588" t="s">
        <v>732</v>
      </c>
      <c r="E93" s="588" t="s">
        <v>733</v>
      </c>
      <c r="F93" s="588" t="s">
        <v>734</v>
      </c>
      <c r="G93" s="588" t="s">
        <v>735</v>
      </c>
      <c r="H93" s="592">
        <v>38.113199999999999</v>
      </c>
      <c r="I93" s="592">
        <f t="shared" ref="I93:J93" si="86">H93*5.3%+H93</f>
        <v>40.133199599999998</v>
      </c>
      <c r="J93" s="592">
        <f t="shared" si="86"/>
        <v>42.260259178799998</v>
      </c>
      <c r="K93" s="592">
        <f t="shared" si="82"/>
        <v>44.542313174455202</v>
      </c>
      <c r="L93" s="592">
        <f t="shared" si="83"/>
        <v>48.996544491900721</v>
      </c>
      <c r="M93" s="759">
        <f t="shared" si="84"/>
        <v>51.446371716495754</v>
      </c>
      <c r="N93" s="761">
        <f t="shared" si="74"/>
        <v>54.173029417470026</v>
      </c>
      <c r="O93" s="761">
        <f t="shared" si="75"/>
        <v>56.827507858926054</v>
      </c>
      <c r="P93" s="912">
        <f t="shared" si="76"/>
        <v>59.327918204718799</v>
      </c>
      <c r="Q93" s="761">
        <f t="shared" si="77"/>
        <v>61.523051178293393</v>
      </c>
      <c r="R93" s="761">
        <f t="shared" si="78"/>
        <v>63.553311867177072</v>
      </c>
      <c r="S93" s="761">
        <f t="shared" si="79"/>
        <v>65.587017846926742</v>
      </c>
    </row>
    <row r="94" spans="1:19" ht="16">
      <c r="A94" s="588"/>
      <c r="B94" s="593" t="s">
        <v>736</v>
      </c>
      <c r="C94" s="588" t="s">
        <v>737</v>
      </c>
      <c r="D94" s="588" t="s">
        <v>738</v>
      </c>
      <c r="E94" s="588" t="s">
        <v>739</v>
      </c>
      <c r="F94" s="588" t="s">
        <v>740</v>
      </c>
      <c r="G94" s="588" t="s">
        <v>741</v>
      </c>
      <c r="H94" s="592">
        <v>21.913199999999996</v>
      </c>
      <c r="I94" s="592">
        <f t="shared" ref="I94:J94" si="87">H94*5.3%+H94</f>
        <v>23.074599599999996</v>
      </c>
      <c r="J94" s="592">
        <f t="shared" si="87"/>
        <v>24.297553378799996</v>
      </c>
      <c r="K94" s="592">
        <f t="shared" si="82"/>
        <v>25.609621261255196</v>
      </c>
      <c r="L94" s="592">
        <f t="shared" si="83"/>
        <v>28.170583387380717</v>
      </c>
      <c r="M94" s="759">
        <f t="shared" si="84"/>
        <v>29.579112556749752</v>
      </c>
      <c r="N94" s="761">
        <f t="shared" si="74"/>
        <v>31.146805522257488</v>
      </c>
      <c r="O94" s="761">
        <f t="shared" si="75"/>
        <v>32.672998992848107</v>
      </c>
      <c r="P94" s="912">
        <f t="shared" si="76"/>
        <v>34.110610948533427</v>
      </c>
      <c r="Q94" s="761">
        <f t="shared" si="77"/>
        <v>35.372703553629165</v>
      </c>
      <c r="R94" s="761">
        <f t="shared" si="78"/>
        <v>36.54000277089893</v>
      </c>
      <c r="S94" s="761">
        <f t="shared" si="79"/>
        <v>37.709282859567693</v>
      </c>
    </row>
    <row r="95" spans="1:19" ht="16">
      <c r="A95" s="588"/>
      <c r="B95" s="593" t="s">
        <v>742</v>
      </c>
      <c r="C95" s="590">
        <v>11</v>
      </c>
      <c r="D95" s="590" t="s">
        <v>743</v>
      </c>
      <c r="E95" s="588" t="s">
        <v>744</v>
      </c>
      <c r="F95" s="588" t="s">
        <v>745</v>
      </c>
      <c r="G95" s="588" t="s">
        <v>746</v>
      </c>
      <c r="H95" s="592">
        <v>19.958400000000001</v>
      </c>
      <c r="I95" s="592">
        <f t="shared" ref="I95:J95" si="88">H95*5.3%+H95</f>
        <v>21.016195200000002</v>
      </c>
      <c r="J95" s="592">
        <f t="shared" si="88"/>
        <v>22.130053545600003</v>
      </c>
      <c r="K95" s="592">
        <f t="shared" si="82"/>
        <v>23.325076437062403</v>
      </c>
      <c r="L95" s="592">
        <f t="shared" si="83"/>
        <v>25.657584080768643</v>
      </c>
      <c r="M95" s="759">
        <f t="shared" si="84"/>
        <v>26.940463284807077</v>
      </c>
      <c r="N95" s="761">
        <f t="shared" si="74"/>
        <v>28.368307838901853</v>
      </c>
      <c r="O95" s="761">
        <f t="shared" si="75"/>
        <v>29.758354923008042</v>
      </c>
      <c r="P95" s="912">
        <f t="shared" si="76"/>
        <v>31.067722539620398</v>
      </c>
      <c r="Q95" s="761">
        <f t="shared" si="77"/>
        <v>32.21722827358635</v>
      </c>
      <c r="R95" s="761">
        <f t="shared" si="78"/>
        <v>33.280396806614704</v>
      </c>
      <c r="S95" s="761">
        <f t="shared" si="79"/>
        <v>34.345369504426372</v>
      </c>
    </row>
    <row r="96" spans="1:19" ht="16">
      <c r="A96" s="588"/>
      <c r="B96" s="593" t="s">
        <v>747</v>
      </c>
      <c r="C96" s="588" t="s">
        <v>748</v>
      </c>
      <c r="D96" s="590" t="s">
        <v>749</v>
      </c>
      <c r="E96" s="588" t="s">
        <v>750</v>
      </c>
      <c r="F96" s="588" t="s">
        <v>751</v>
      </c>
      <c r="G96" s="588" t="s">
        <v>752</v>
      </c>
      <c r="H96" s="592">
        <v>314.49599999999998</v>
      </c>
      <c r="I96" s="592">
        <f t="shared" ref="I96:J96" si="89">H96*5.3%+H96</f>
        <v>331.164288</v>
      </c>
      <c r="J96" s="592">
        <f t="shared" si="89"/>
        <v>348.71599526400001</v>
      </c>
      <c r="K96" s="592">
        <f t="shared" si="82"/>
        <v>367.54665900825603</v>
      </c>
      <c r="L96" s="592">
        <f t="shared" si="83"/>
        <v>404.30132490908164</v>
      </c>
      <c r="M96" s="759">
        <f t="shared" si="84"/>
        <v>424.51639115453571</v>
      </c>
      <c r="N96" s="761">
        <f t="shared" si="74"/>
        <v>447.01575988572608</v>
      </c>
      <c r="O96" s="761">
        <f t="shared" si="75"/>
        <v>468.91953212012663</v>
      </c>
      <c r="P96" s="912">
        <f t="shared" si="76"/>
        <v>489.55199153341221</v>
      </c>
      <c r="Q96" s="761">
        <f t="shared" si="77"/>
        <v>507.66541522014847</v>
      </c>
      <c r="R96" s="761">
        <f t="shared" si="78"/>
        <v>524.41837392241337</v>
      </c>
      <c r="S96" s="761">
        <f t="shared" si="79"/>
        <v>541.19976188793055</v>
      </c>
    </row>
    <row r="97" spans="1:19" ht="16">
      <c r="A97" s="588"/>
      <c r="B97" s="588" t="s">
        <v>753</v>
      </c>
      <c r="C97" s="590" t="s">
        <v>754</v>
      </c>
      <c r="D97" s="590" t="s">
        <v>755</v>
      </c>
      <c r="E97" s="588" t="s">
        <v>756</v>
      </c>
      <c r="F97" s="588" t="s">
        <v>757</v>
      </c>
      <c r="G97" s="588" t="s">
        <v>758</v>
      </c>
      <c r="H97" s="592">
        <f>118.29*108/100</f>
        <v>127.75320000000002</v>
      </c>
      <c r="I97" s="592">
        <f t="shared" ref="I97:J97" si="90">H97*5.3%+H97</f>
        <v>134.52411960000003</v>
      </c>
      <c r="J97" s="592">
        <f t="shared" si="90"/>
        <v>141.65389793880004</v>
      </c>
      <c r="K97" s="592">
        <f t="shared" si="82"/>
        <v>149.30320842749524</v>
      </c>
      <c r="L97" s="592">
        <f t="shared" si="83"/>
        <v>164.23352927024476</v>
      </c>
      <c r="M97" s="759">
        <f t="shared" si="84"/>
        <v>172.44520573375701</v>
      </c>
      <c r="N97" s="761">
        <f t="shared" si="74"/>
        <v>181.58480163764614</v>
      </c>
      <c r="O97" s="761">
        <f t="shared" si="75"/>
        <v>190.4824569178908</v>
      </c>
      <c r="P97" s="912">
        <f t="shared" si="76"/>
        <v>198.86368502227799</v>
      </c>
      <c r="Q97" s="761">
        <f t="shared" si="77"/>
        <v>206.22164136810227</v>
      </c>
      <c r="R97" s="761">
        <f t="shared" si="78"/>
        <v>213.02695553324963</v>
      </c>
      <c r="S97" s="761">
        <f t="shared" si="79"/>
        <v>219.84381811031363</v>
      </c>
    </row>
    <row r="98" spans="1:19" ht="16">
      <c r="A98" s="588"/>
      <c r="B98" s="589" t="s">
        <v>759</v>
      </c>
      <c r="C98" s="590" t="s">
        <v>760</v>
      </c>
      <c r="D98" s="590" t="s">
        <v>761</v>
      </c>
      <c r="E98" s="590" t="s">
        <v>762</v>
      </c>
      <c r="F98" s="588" t="s">
        <v>763</v>
      </c>
      <c r="G98" s="588" t="s">
        <v>764</v>
      </c>
      <c r="H98" s="592">
        <v>73.504800000000003</v>
      </c>
      <c r="I98" s="592">
        <f t="shared" ref="I98:J98" si="91">H98*5.3%+H98</f>
        <v>77.400554400000004</v>
      </c>
      <c r="J98" s="592">
        <f t="shared" si="91"/>
        <v>81.502783783200002</v>
      </c>
      <c r="K98" s="592">
        <f t="shared" si="82"/>
        <v>85.903934107492802</v>
      </c>
      <c r="L98" s="592">
        <f t="shared" si="83"/>
        <v>94.494327518242088</v>
      </c>
      <c r="M98" s="759">
        <f t="shared" si="84"/>
        <v>99.219043894154197</v>
      </c>
      <c r="N98" s="761">
        <f t="shared" si="74"/>
        <v>104.47765322054437</v>
      </c>
      <c r="O98" s="761">
        <f t="shared" si="75"/>
        <v>109.59705822835105</v>
      </c>
      <c r="P98" s="912">
        <f t="shared" si="76"/>
        <v>114.4193287903985</v>
      </c>
      <c r="Q98" s="761">
        <f t="shared" si="77"/>
        <v>118.65284395564323</v>
      </c>
      <c r="R98" s="761">
        <f t="shared" si="78"/>
        <v>122.56838780617946</v>
      </c>
      <c r="S98" s="761">
        <f t="shared" si="79"/>
        <v>126.4905762159772</v>
      </c>
    </row>
    <row r="99" spans="1:19" ht="16">
      <c r="A99" s="588"/>
      <c r="B99" s="593" t="s">
        <v>765</v>
      </c>
      <c r="C99" s="590"/>
      <c r="D99" s="590" t="s">
        <v>766</v>
      </c>
      <c r="E99" s="590" t="s">
        <v>767</v>
      </c>
      <c r="F99" s="588" t="s">
        <v>768</v>
      </c>
      <c r="G99" s="588" t="s">
        <v>769</v>
      </c>
      <c r="H99" s="592">
        <v>47.725199999999994</v>
      </c>
      <c r="I99" s="592">
        <f t="shared" ref="I99:J99" si="92">H99*5.3%+H99</f>
        <v>50.254635599999993</v>
      </c>
      <c r="J99" s="592">
        <f t="shared" si="92"/>
        <v>52.918131286799991</v>
      </c>
      <c r="K99" s="592">
        <f t="shared" si="82"/>
        <v>55.775710376287194</v>
      </c>
      <c r="L99" s="592">
        <f t="shared" si="83"/>
        <v>61.353281413915916</v>
      </c>
      <c r="M99" s="759">
        <f t="shared" si="84"/>
        <v>64.420945484611707</v>
      </c>
      <c r="N99" s="761">
        <f t="shared" si="74"/>
        <v>67.835255595296132</v>
      </c>
      <c r="O99" s="761">
        <f t="shared" si="75"/>
        <v>71.159183119465638</v>
      </c>
      <c r="P99" s="912">
        <f t="shared" si="76"/>
        <v>74.290187176722128</v>
      </c>
      <c r="Q99" s="761">
        <f t="shared" si="77"/>
        <v>77.03892410226085</v>
      </c>
      <c r="R99" s="761">
        <f t="shared" si="78"/>
        <v>79.581208597635452</v>
      </c>
      <c r="S99" s="761">
        <f t="shared" si="79"/>
        <v>82.127807272759782</v>
      </c>
    </row>
    <row r="100" spans="1:19" ht="16">
      <c r="A100" s="588"/>
      <c r="B100" s="589" t="s">
        <v>770</v>
      </c>
      <c r="C100" s="590" t="s">
        <v>771</v>
      </c>
      <c r="D100" s="590" t="s">
        <v>772</v>
      </c>
      <c r="E100" s="590" t="s">
        <v>773</v>
      </c>
      <c r="F100" s="588" t="s">
        <v>774</v>
      </c>
      <c r="G100" s="588" t="s">
        <v>775</v>
      </c>
      <c r="H100" s="592">
        <v>29.861999999999998</v>
      </c>
      <c r="I100" s="592">
        <f t="shared" ref="I100:J100" si="93">H100*5.3%+H100</f>
        <v>31.444685999999997</v>
      </c>
      <c r="J100" s="592">
        <f t="shared" si="93"/>
        <v>33.111254357999997</v>
      </c>
      <c r="K100" s="592">
        <f t="shared" si="82"/>
        <v>34.899262093331998</v>
      </c>
      <c r="L100" s="592">
        <f t="shared" si="83"/>
        <v>38.389188302665197</v>
      </c>
      <c r="M100" s="759">
        <f t="shared" si="84"/>
        <v>40.308647717798458</v>
      </c>
      <c r="N100" s="761">
        <f t="shared" si="74"/>
        <v>42.445006046841776</v>
      </c>
      <c r="O100" s="761">
        <f t="shared" si="75"/>
        <v>44.524811343137024</v>
      </c>
      <c r="P100" s="912">
        <f t="shared" si="76"/>
        <v>46.483903042235056</v>
      </c>
      <c r="Q100" s="761">
        <f t="shared" si="77"/>
        <v>48.203807454797754</v>
      </c>
      <c r="R100" s="761">
        <f t="shared" si="78"/>
        <v>49.794533100806078</v>
      </c>
      <c r="S100" s="761">
        <f t="shared" si="79"/>
        <v>51.387958160031872</v>
      </c>
    </row>
    <row r="101" spans="1:19" ht="16">
      <c r="A101" s="588"/>
      <c r="B101" s="593" t="s">
        <v>776</v>
      </c>
      <c r="C101" s="590" t="s">
        <v>777</v>
      </c>
      <c r="D101" s="590" t="s">
        <v>778</v>
      </c>
      <c r="E101" s="588" t="s">
        <v>779</v>
      </c>
      <c r="F101" s="588" t="s">
        <v>780</v>
      </c>
      <c r="G101" s="588" t="s">
        <v>781</v>
      </c>
      <c r="H101" s="592">
        <v>13.4352</v>
      </c>
      <c r="I101" s="592">
        <f t="shared" ref="I101:J101" si="94">H101*5.3%+H101</f>
        <v>14.147265600000001</v>
      </c>
      <c r="J101" s="592">
        <f t="shared" si="94"/>
        <v>14.8970706768</v>
      </c>
      <c r="K101" s="592">
        <f t="shared" si="82"/>
        <v>15.701512493347201</v>
      </c>
      <c r="L101" s="592">
        <f t="shared" si="83"/>
        <v>17.27166374268192</v>
      </c>
      <c r="M101" s="759">
        <f t="shared" si="84"/>
        <v>18.135246929816017</v>
      </c>
      <c r="N101" s="761">
        <f t="shared" si="74"/>
        <v>19.096415017096266</v>
      </c>
      <c r="O101" s="761">
        <f t="shared" si="75"/>
        <v>20.032139352933982</v>
      </c>
      <c r="P101" s="912">
        <f t="shared" si="76"/>
        <v>20.913553484463076</v>
      </c>
      <c r="Q101" s="761">
        <f t="shared" si="77"/>
        <v>21.687354963388209</v>
      </c>
      <c r="R101" s="761">
        <f t="shared" si="78"/>
        <v>22.40303767718002</v>
      </c>
      <c r="S101" s="761">
        <f t="shared" si="79"/>
        <v>23.11993488284978</v>
      </c>
    </row>
    <row r="102" spans="1:19" ht="16">
      <c r="A102" s="588"/>
      <c r="B102" s="593" t="s">
        <v>782</v>
      </c>
      <c r="C102" s="588" t="s">
        <v>783</v>
      </c>
      <c r="D102" s="590" t="s">
        <v>784</v>
      </c>
      <c r="E102" s="588" t="s">
        <v>785</v>
      </c>
      <c r="F102" s="588" t="s">
        <v>786</v>
      </c>
      <c r="G102" s="588" t="s">
        <v>787</v>
      </c>
      <c r="H102" s="592">
        <v>6.9012000000000002</v>
      </c>
      <c r="I102" s="592">
        <f t="shared" ref="I102:J102" si="95">H102*5.3%+H102</f>
        <v>7.2669636000000004</v>
      </c>
      <c r="J102" s="592">
        <f t="shared" si="95"/>
        <v>7.6521126708000002</v>
      </c>
      <c r="K102" s="592">
        <f t="shared" si="82"/>
        <v>8.0653267550232002</v>
      </c>
      <c r="L102" s="592">
        <f t="shared" si="83"/>
        <v>8.8718594305255198</v>
      </c>
      <c r="M102" s="759">
        <f t="shared" si="84"/>
        <v>9.315452402051795</v>
      </c>
      <c r="N102" s="761">
        <f t="shared" si="74"/>
        <v>9.8091713793605404</v>
      </c>
      <c r="O102" s="761">
        <f t="shared" si="75"/>
        <v>10.289820776949206</v>
      </c>
      <c r="P102" s="912">
        <f t="shared" si="76"/>
        <v>10.742572891134971</v>
      </c>
      <c r="Q102" s="761">
        <f t="shared" si="77"/>
        <v>11.140048088106965</v>
      </c>
      <c r="R102" s="761">
        <f t="shared" si="78"/>
        <v>11.507669675014496</v>
      </c>
      <c r="S102" s="761">
        <f t="shared" si="79"/>
        <v>11.875915104614959</v>
      </c>
    </row>
    <row r="103" spans="1:19" ht="16">
      <c r="A103" s="588"/>
      <c r="B103" s="593" t="s">
        <v>788</v>
      </c>
      <c r="C103" s="590" t="s">
        <v>789</v>
      </c>
      <c r="D103" s="590" t="s">
        <v>790</v>
      </c>
      <c r="E103" s="588" t="s">
        <v>791</v>
      </c>
      <c r="F103" s="588" t="s">
        <v>792</v>
      </c>
      <c r="G103" s="588" t="s">
        <v>793</v>
      </c>
      <c r="H103" s="592">
        <v>2.9051999999999998</v>
      </c>
      <c r="I103" s="592">
        <f t="shared" ref="I103:J103" si="96">H103*5.3%+H103</f>
        <v>3.0591755999999997</v>
      </c>
      <c r="J103" s="592">
        <f t="shared" si="96"/>
        <v>3.2213119067999996</v>
      </c>
      <c r="K103" s="592">
        <f t="shared" si="82"/>
        <v>3.3952627497671997</v>
      </c>
      <c r="L103" s="592">
        <f t="shared" si="83"/>
        <v>3.7347890247439195</v>
      </c>
      <c r="M103" s="759">
        <f t="shared" si="84"/>
        <v>3.9215284759811153</v>
      </c>
      <c r="N103" s="761">
        <f t="shared" si="74"/>
        <v>4.1293694852081142</v>
      </c>
      <c r="O103" s="761">
        <f t="shared" si="75"/>
        <v>4.3317085899833119</v>
      </c>
      <c r="P103" s="912">
        <f t="shared" si="76"/>
        <v>4.5223037679425779</v>
      </c>
      <c r="Q103" s="761">
        <f t="shared" si="77"/>
        <v>4.6896290073564533</v>
      </c>
      <c r="R103" s="761">
        <f t="shared" si="78"/>
        <v>4.844386764599216</v>
      </c>
      <c r="S103" s="761">
        <f t="shared" si="79"/>
        <v>4.9994071410663912</v>
      </c>
    </row>
    <row r="104" spans="1:19" ht="16">
      <c r="A104" s="588"/>
      <c r="B104" s="593" t="s">
        <v>794</v>
      </c>
      <c r="C104" s="590" t="s">
        <v>795</v>
      </c>
      <c r="D104" s="590" t="s">
        <v>796</v>
      </c>
      <c r="E104" s="588" t="s">
        <v>797</v>
      </c>
      <c r="F104" s="588" t="s">
        <v>798</v>
      </c>
      <c r="G104" s="588" t="s">
        <v>799</v>
      </c>
      <c r="H104" s="592">
        <v>46.217200000000005</v>
      </c>
      <c r="I104" s="592">
        <f t="shared" ref="I104:J104" si="97">H104*5.3%+H104</f>
        <v>48.666711600000006</v>
      </c>
      <c r="J104" s="592">
        <f t="shared" si="97"/>
        <v>51.246047314800009</v>
      </c>
      <c r="K104" s="592">
        <f t="shared" si="82"/>
        <v>54.013333869799212</v>
      </c>
      <c r="L104" s="592">
        <f t="shared" si="83"/>
        <v>59.414667256779133</v>
      </c>
      <c r="M104" s="759">
        <f t="shared" si="84"/>
        <v>62.385400619618089</v>
      </c>
      <c r="N104" s="761">
        <f t="shared" si="74"/>
        <v>65.691826852457851</v>
      </c>
      <c r="O104" s="761">
        <f t="shared" si="75"/>
        <v>68.910726368228282</v>
      </c>
      <c r="P104" s="912">
        <f t="shared" si="76"/>
        <v>71.942798328430328</v>
      </c>
      <c r="Q104" s="761">
        <f t="shared" si="77"/>
        <v>74.604681866582254</v>
      </c>
      <c r="R104" s="761">
        <f t="shared" si="78"/>
        <v>77.066636368179473</v>
      </c>
      <c r="S104" s="761">
        <f t="shared" si="79"/>
        <v>79.532768731961212</v>
      </c>
    </row>
    <row r="105" spans="1:19" ht="16">
      <c r="A105" s="588"/>
      <c r="B105" s="589" t="s">
        <v>800</v>
      </c>
      <c r="C105" s="590" t="s">
        <v>801</v>
      </c>
      <c r="D105" s="590" t="s">
        <v>802</v>
      </c>
      <c r="E105" s="590" t="s">
        <v>803</v>
      </c>
      <c r="F105" s="588" t="s">
        <v>804</v>
      </c>
      <c r="G105" s="588" t="s">
        <v>805</v>
      </c>
      <c r="H105" s="592">
        <v>629.53120000000001</v>
      </c>
      <c r="I105" s="592">
        <f t="shared" ref="I105:J105" si="98">H105*5.3%+H105</f>
        <v>662.8963536</v>
      </c>
      <c r="J105" s="592">
        <f t="shared" si="98"/>
        <v>698.02986034080004</v>
      </c>
      <c r="K105" s="592">
        <f t="shared" si="82"/>
        <v>735.72347279920325</v>
      </c>
      <c r="L105" s="592">
        <f t="shared" si="83"/>
        <v>809.29582007912359</v>
      </c>
      <c r="M105" s="759">
        <f t="shared" si="84"/>
        <v>849.76061108307977</v>
      </c>
      <c r="N105" s="761">
        <f t="shared" si="74"/>
        <v>894.79792347048294</v>
      </c>
      <c r="O105" s="761">
        <f t="shared" si="75"/>
        <v>938.64302172053658</v>
      </c>
      <c r="P105" s="912">
        <f t="shared" si="76"/>
        <v>979.94331467624022</v>
      </c>
      <c r="Q105" s="761">
        <f t="shared" si="77"/>
        <v>1016.2012173192611</v>
      </c>
      <c r="R105" s="761">
        <f t="shared" si="78"/>
        <v>1049.7358574907967</v>
      </c>
      <c r="S105" s="761">
        <f t="shared" si="79"/>
        <v>1083.3274049305021</v>
      </c>
    </row>
    <row r="106" spans="1:19" ht="16">
      <c r="A106" s="588"/>
      <c r="B106" s="593" t="s">
        <v>806</v>
      </c>
      <c r="C106" s="590" t="s">
        <v>807</v>
      </c>
      <c r="D106" s="590" t="s">
        <v>808</v>
      </c>
      <c r="E106" s="588" t="s">
        <v>809</v>
      </c>
      <c r="F106" s="588" t="s">
        <v>810</v>
      </c>
      <c r="G106" s="588" t="s">
        <v>811</v>
      </c>
      <c r="H106" s="588">
        <v>12.527999999999999</v>
      </c>
      <c r="I106" s="592">
        <f t="shared" ref="I106:J106" si="99">H106*5.3%+H106</f>
        <v>13.191983999999998</v>
      </c>
      <c r="J106" s="592">
        <f t="shared" si="99"/>
        <v>13.891159151999998</v>
      </c>
      <c r="K106" s="592">
        <f t="shared" si="82"/>
        <v>14.641281746207998</v>
      </c>
      <c r="L106" s="592">
        <f t="shared" si="83"/>
        <v>16.105409920828798</v>
      </c>
      <c r="M106" s="759">
        <f t="shared" si="84"/>
        <v>16.910680416870239</v>
      </c>
      <c r="N106" s="761">
        <f t="shared" si="74"/>
        <v>17.806946478964363</v>
      </c>
      <c r="O106" s="761">
        <f t="shared" si="75"/>
        <v>18.679486856433616</v>
      </c>
      <c r="P106" s="912">
        <f t="shared" si="76"/>
        <v>19.501384278116696</v>
      </c>
      <c r="Q106" s="761">
        <f t="shared" si="77"/>
        <v>20.222935496407015</v>
      </c>
      <c r="R106" s="761">
        <f t="shared" si="78"/>
        <v>20.890292367788447</v>
      </c>
      <c r="S106" s="761">
        <f t="shared" si="79"/>
        <v>21.558781723557679</v>
      </c>
    </row>
    <row r="107" spans="1:19" ht="16">
      <c r="A107" s="588"/>
      <c r="B107" s="589" t="s">
        <v>812</v>
      </c>
      <c r="C107" s="590" t="s">
        <v>813</v>
      </c>
      <c r="D107" s="590" t="s">
        <v>814</v>
      </c>
      <c r="E107" s="590" t="s">
        <v>815</v>
      </c>
      <c r="F107" s="588" t="s">
        <v>816</v>
      </c>
      <c r="G107" s="588" t="s">
        <v>817</v>
      </c>
      <c r="H107" s="592">
        <v>99.997200000000007</v>
      </c>
      <c r="I107" s="592">
        <f t="shared" ref="I107:J107" si="100">H107*5.3%+H107</f>
        <v>105.2970516</v>
      </c>
      <c r="J107" s="592">
        <f t="shared" si="100"/>
        <v>110.8777953348</v>
      </c>
      <c r="K107" s="592">
        <f t="shared" si="82"/>
        <v>116.8651962828792</v>
      </c>
      <c r="L107" s="592">
        <f t="shared" si="83"/>
        <v>128.55171591116712</v>
      </c>
      <c r="M107" s="759">
        <f t="shared" si="84"/>
        <v>134.97930170672547</v>
      </c>
      <c r="N107" s="761">
        <f t="shared" si="74"/>
        <v>142.13320469718192</v>
      </c>
      <c r="O107" s="761">
        <f t="shared" si="75"/>
        <v>149.09773172734384</v>
      </c>
      <c r="P107" s="912">
        <f t="shared" si="76"/>
        <v>155.65803192334698</v>
      </c>
      <c r="Q107" s="761">
        <f t="shared" si="77"/>
        <v>161.41737910451081</v>
      </c>
      <c r="R107" s="761">
        <f t="shared" si="78"/>
        <v>166.74415261495966</v>
      </c>
      <c r="S107" s="761">
        <f t="shared" si="79"/>
        <v>172.07996549863836</v>
      </c>
    </row>
    <row r="108" spans="1:19" ht="16">
      <c r="A108" s="588"/>
      <c r="B108" s="593" t="s">
        <v>818</v>
      </c>
      <c r="C108" s="590" t="s">
        <v>795</v>
      </c>
      <c r="D108" s="590" t="s">
        <v>796</v>
      </c>
      <c r="E108" s="588" t="s">
        <v>797</v>
      </c>
      <c r="F108" s="588" t="s">
        <v>798</v>
      </c>
      <c r="G108" s="588" t="s">
        <v>799</v>
      </c>
      <c r="H108" s="588">
        <v>4.54</v>
      </c>
      <c r="I108" s="592">
        <f t="shared" ref="I108:J108" si="101">H108*5.3%+H108</f>
        <v>4.7806199999999999</v>
      </c>
      <c r="J108" s="592">
        <f t="shared" si="101"/>
        <v>5.0339928599999997</v>
      </c>
      <c r="K108" s="592">
        <f t="shared" si="82"/>
        <v>5.3058284744400002</v>
      </c>
      <c r="L108" s="592">
        <f t="shared" si="83"/>
        <v>5.8364113218840004</v>
      </c>
      <c r="M108" s="759">
        <f t="shared" si="84"/>
        <v>6.1282318879782007</v>
      </c>
      <c r="N108" s="761">
        <f t="shared" si="74"/>
        <v>6.4530281780410457</v>
      </c>
      <c r="O108" s="761">
        <f t="shared" si="75"/>
        <v>6.7692265587650571</v>
      </c>
      <c r="P108" s="912">
        <f t="shared" si="76"/>
        <v>7.06707252735072</v>
      </c>
      <c r="Q108" s="761">
        <f t="shared" si="77"/>
        <v>7.3285542108626966</v>
      </c>
      <c r="R108" s="761">
        <f t="shared" si="78"/>
        <v>7.5703964998211655</v>
      </c>
      <c r="S108" s="761">
        <f t="shared" si="79"/>
        <v>7.8126491878154427</v>
      </c>
    </row>
    <row r="109" spans="1:19" ht="16">
      <c r="A109" s="588"/>
      <c r="B109" s="589" t="s">
        <v>819</v>
      </c>
      <c r="C109" s="590" t="s">
        <v>719</v>
      </c>
      <c r="D109" s="590" t="s">
        <v>720</v>
      </c>
      <c r="E109" s="590" t="s">
        <v>721</v>
      </c>
      <c r="F109" s="588" t="s">
        <v>722</v>
      </c>
      <c r="G109" s="588" t="s">
        <v>723</v>
      </c>
      <c r="H109" s="592">
        <v>106.7148</v>
      </c>
      <c r="I109" s="592">
        <f t="shared" ref="I109:J109" si="102">H109*5.3%+H109</f>
        <v>112.3706844</v>
      </c>
      <c r="J109" s="592">
        <f t="shared" si="102"/>
        <v>118.3263306732</v>
      </c>
      <c r="K109" s="592">
        <f t="shared" si="82"/>
        <v>124.71595252955281</v>
      </c>
      <c r="L109" s="592">
        <f t="shared" si="83"/>
        <v>137.18754778250809</v>
      </c>
      <c r="M109" s="759">
        <f t="shared" si="84"/>
        <v>144.04692517163349</v>
      </c>
      <c r="N109" s="761">
        <f t="shared" si="74"/>
        <v>151.68141220573006</v>
      </c>
      <c r="O109" s="761">
        <f t="shared" si="75"/>
        <v>159.11380140381084</v>
      </c>
      <c r="P109" s="912">
        <f t="shared" si="76"/>
        <v>166.11480866557852</v>
      </c>
      <c r="Q109" s="761">
        <f t="shared" si="77"/>
        <v>172.26105658620492</v>
      </c>
      <c r="R109" s="761">
        <f t="shared" si="78"/>
        <v>177.94567145354966</v>
      </c>
      <c r="S109" s="761">
        <f t="shared" si="79"/>
        <v>183.63993294006326</v>
      </c>
    </row>
    <row r="110" spans="1:19" ht="16">
      <c r="A110" s="588"/>
      <c r="B110" s="589" t="s">
        <v>820</v>
      </c>
      <c r="C110" s="590" t="s">
        <v>821</v>
      </c>
      <c r="D110" s="590" t="s">
        <v>822</v>
      </c>
      <c r="E110" s="590" t="s">
        <v>823</v>
      </c>
      <c r="F110" s="588" t="s">
        <v>824</v>
      </c>
      <c r="G110" s="588" t="s">
        <v>825</v>
      </c>
      <c r="H110" s="592">
        <v>19.061999999999998</v>
      </c>
      <c r="I110" s="592">
        <f t="shared" ref="I110:J110" si="103">H110*5.3%+H110</f>
        <v>20.072285999999998</v>
      </c>
      <c r="J110" s="592">
        <f t="shared" si="103"/>
        <v>21.136117157999998</v>
      </c>
      <c r="K110" s="592">
        <f t="shared" si="82"/>
        <v>22.277467484531996</v>
      </c>
      <c r="L110" s="592">
        <f t="shared" si="83"/>
        <v>24.505214232985196</v>
      </c>
      <c r="M110" s="759">
        <f t="shared" si="84"/>
        <v>25.730474944634455</v>
      </c>
      <c r="N110" s="761">
        <f t="shared" si="74"/>
        <v>27.09419011670008</v>
      </c>
      <c r="O110" s="761">
        <f t="shared" si="75"/>
        <v>28.421805432418385</v>
      </c>
      <c r="P110" s="912">
        <f t="shared" si="76"/>
        <v>29.672364871444792</v>
      </c>
      <c r="Q110" s="761">
        <f t="shared" si="77"/>
        <v>30.770242371688248</v>
      </c>
      <c r="R110" s="761">
        <f t="shared" si="78"/>
        <v>31.785660369953959</v>
      </c>
      <c r="S110" s="761">
        <f t="shared" si="79"/>
        <v>32.802801501792487</v>
      </c>
    </row>
    <row r="111" spans="1:19" ht="16">
      <c r="A111" s="588"/>
      <c r="B111" s="589" t="s">
        <v>826</v>
      </c>
      <c r="C111" s="590" t="s">
        <v>827</v>
      </c>
      <c r="D111" s="590" t="s">
        <v>828</v>
      </c>
      <c r="E111" s="590" t="s">
        <v>829</v>
      </c>
      <c r="F111" s="588" t="s">
        <v>830</v>
      </c>
      <c r="G111" s="588" t="s">
        <v>831</v>
      </c>
      <c r="H111" s="594">
        <v>115.43039999999999</v>
      </c>
      <c r="I111" s="592">
        <f t="shared" ref="I111:J111" si="104">H111*5.3%+H111</f>
        <v>121.5482112</v>
      </c>
      <c r="J111" s="592">
        <f t="shared" si="104"/>
        <v>127.9902663936</v>
      </c>
      <c r="K111" s="592">
        <f t="shared" si="82"/>
        <v>134.90174077885439</v>
      </c>
      <c r="L111" s="592">
        <f t="shared" si="83"/>
        <v>148.39191485673982</v>
      </c>
      <c r="M111" s="759">
        <f t="shared" si="84"/>
        <v>155.81151059957682</v>
      </c>
      <c r="N111" s="761">
        <f t="shared" si="74"/>
        <v>164.0695206613544</v>
      </c>
      <c r="O111" s="761">
        <f t="shared" si="75"/>
        <v>172.10892717376078</v>
      </c>
      <c r="P111" s="912">
        <f t="shared" si="76"/>
        <v>179.68171996940626</v>
      </c>
      <c r="Q111" s="761">
        <f t="shared" si="77"/>
        <v>186.32994360827431</v>
      </c>
      <c r="R111" s="761">
        <f t="shared" si="78"/>
        <v>192.47883174734736</v>
      </c>
      <c r="S111" s="761">
        <f t="shared" si="79"/>
        <v>198.63815436326246</v>
      </c>
    </row>
    <row r="112" spans="1:19" ht="16">
      <c r="A112" s="588"/>
      <c r="B112" s="593" t="s">
        <v>832</v>
      </c>
      <c r="C112" s="590" t="s">
        <v>833</v>
      </c>
      <c r="D112" s="590" t="s">
        <v>834</v>
      </c>
      <c r="E112" s="588" t="s">
        <v>835</v>
      </c>
      <c r="F112" s="588" t="s">
        <v>836</v>
      </c>
      <c r="G112" s="588" t="s">
        <v>837</v>
      </c>
      <c r="H112" s="592">
        <f>427.15*108/100</f>
        <v>461.32199999999995</v>
      </c>
      <c r="I112" s="592">
        <f t="shared" ref="I112:J112" si="105">H112*5.3%+H112</f>
        <v>485.77206599999994</v>
      </c>
      <c r="J112" s="592">
        <f t="shared" si="105"/>
        <v>511.51798549799992</v>
      </c>
      <c r="K112" s="592">
        <f t="shared" si="82"/>
        <v>539.13995671489192</v>
      </c>
      <c r="L112" s="592">
        <f t="shared" si="83"/>
        <v>593.05395238638107</v>
      </c>
      <c r="M112" s="759">
        <f t="shared" si="84"/>
        <v>622.70665000570011</v>
      </c>
      <c r="N112" s="761">
        <f t="shared" si="74"/>
        <v>655.71010245600223</v>
      </c>
      <c r="O112" s="761">
        <f t="shared" si="75"/>
        <v>687.83989747634632</v>
      </c>
      <c r="P112" s="912">
        <f t="shared" si="76"/>
        <v>718.10485296530555</v>
      </c>
      <c r="Q112" s="761">
        <f t="shared" si="77"/>
        <v>744.67473252502191</v>
      </c>
      <c r="R112" s="761">
        <f t="shared" si="78"/>
        <v>769.24899869834758</v>
      </c>
      <c r="S112" s="761">
        <f t="shared" si="79"/>
        <v>793.86496665669472</v>
      </c>
    </row>
    <row r="113" spans="1:19" s="603" customFormat="1" ht="16">
      <c r="A113" s="588"/>
      <c r="B113" s="595" t="s">
        <v>838</v>
      </c>
      <c r="C113" s="590" t="s">
        <v>839</v>
      </c>
      <c r="D113" s="595" t="s">
        <v>840</v>
      </c>
      <c r="E113" s="595" t="s">
        <v>841</v>
      </c>
      <c r="F113" s="593" t="s">
        <v>842</v>
      </c>
      <c r="G113" s="593" t="s">
        <v>843</v>
      </c>
      <c r="H113" s="617">
        <v>209.61720000000003</v>
      </c>
      <c r="I113" s="592">
        <f t="shared" ref="I113:J113" si="106">H113*5.3%+H113</f>
        <v>220.72691160000002</v>
      </c>
      <c r="J113" s="592">
        <f t="shared" si="106"/>
        <v>232.42543791480003</v>
      </c>
      <c r="K113" s="592">
        <f t="shared" si="82"/>
        <v>244.97641156219925</v>
      </c>
      <c r="L113" s="592">
        <f t="shared" si="83"/>
        <v>269.47405271841916</v>
      </c>
      <c r="M113" s="759">
        <f t="shared" si="84"/>
        <v>282.94775535434013</v>
      </c>
      <c r="N113" s="761">
        <f t="shared" si="74"/>
        <v>297.94398638812015</v>
      </c>
      <c r="O113" s="761">
        <f t="shared" si="75"/>
        <v>312.54324172113803</v>
      </c>
      <c r="P113" s="912">
        <f t="shared" si="76"/>
        <v>326.29514435686809</v>
      </c>
      <c r="Q113" s="858">
        <f t="shared" si="77"/>
        <v>338.3680646980722</v>
      </c>
      <c r="R113" s="858">
        <f t="shared" si="78"/>
        <v>349.5342108331086</v>
      </c>
      <c r="S113" s="858">
        <f t="shared" si="79"/>
        <v>360.7193055797681</v>
      </c>
    </row>
    <row r="114" spans="1:19" ht="16">
      <c r="A114" s="588"/>
      <c r="B114" s="589" t="s">
        <v>844</v>
      </c>
      <c r="C114" s="590">
        <v>273</v>
      </c>
      <c r="D114" s="590" t="s">
        <v>845</v>
      </c>
      <c r="E114" s="590" t="s">
        <v>846</v>
      </c>
      <c r="F114" s="588" t="s">
        <v>847</v>
      </c>
      <c r="G114" s="588" t="s">
        <v>848</v>
      </c>
      <c r="H114" s="592">
        <v>495.42840000000001</v>
      </c>
      <c r="I114" s="592">
        <f t="shared" ref="I114:J114" si="107">H114*5.3%+H114</f>
        <v>521.68610520000004</v>
      </c>
      <c r="J114" s="592">
        <f t="shared" si="107"/>
        <v>549.33546877560002</v>
      </c>
      <c r="K114" s="592">
        <f t="shared" si="82"/>
        <v>578.99958408948237</v>
      </c>
      <c r="L114" s="592">
        <f t="shared" si="83"/>
        <v>636.89954249843061</v>
      </c>
      <c r="M114" s="759">
        <f t="shared" si="84"/>
        <v>668.74451962335218</v>
      </c>
      <c r="N114" s="761">
        <f t="shared" si="74"/>
        <v>704.18797916338985</v>
      </c>
      <c r="O114" s="761">
        <f t="shared" si="75"/>
        <v>738.69319014239591</v>
      </c>
      <c r="P114" s="912">
        <f t="shared" si="76"/>
        <v>771.1956905086613</v>
      </c>
      <c r="Q114" s="761">
        <f t="shared" si="77"/>
        <v>799.72993105748174</v>
      </c>
      <c r="R114" s="761">
        <f t="shared" si="78"/>
        <v>826.12101878237866</v>
      </c>
      <c r="S114" s="761">
        <f t="shared" si="79"/>
        <v>852.55689138341472</v>
      </c>
    </row>
    <row r="115" spans="1:19" ht="32">
      <c r="A115" s="588"/>
      <c r="B115" s="589" t="s">
        <v>849</v>
      </c>
      <c r="C115" s="590"/>
      <c r="D115" s="590"/>
      <c r="E115" s="590"/>
      <c r="F115" s="588"/>
      <c r="G115" s="588"/>
      <c r="H115" s="588"/>
      <c r="I115" s="592"/>
      <c r="J115" s="592"/>
      <c r="K115" s="592"/>
      <c r="L115" s="592"/>
      <c r="M115" s="759"/>
      <c r="N115" s="761"/>
      <c r="O115" s="761"/>
      <c r="P115" s="912">
        <f t="shared" si="76"/>
        <v>0</v>
      </c>
      <c r="Q115" s="761">
        <f t="shared" si="77"/>
        <v>0</v>
      </c>
      <c r="R115" s="761">
        <f t="shared" si="78"/>
        <v>0</v>
      </c>
      <c r="S115" s="761">
        <f t="shared" si="79"/>
        <v>0</v>
      </c>
    </row>
    <row r="116" spans="1:19" ht="32">
      <c r="A116" s="588">
        <v>38</v>
      </c>
      <c r="B116" s="589" t="s">
        <v>850</v>
      </c>
      <c r="C116" s="590"/>
      <c r="D116" s="590"/>
      <c r="E116" s="590"/>
      <c r="F116" s="588"/>
      <c r="G116" s="588"/>
      <c r="H116" s="588"/>
      <c r="I116" s="592"/>
      <c r="J116" s="592"/>
      <c r="K116" s="592"/>
      <c r="L116" s="592"/>
      <c r="M116" s="759"/>
      <c r="N116" s="761"/>
      <c r="O116" s="761"/>
      <c r="P116" s="912">
        <f t="shared" si="76"/>
        <v>0</v>
      </c>
      <c r="Q116" s="761">
        <f t="shared" si="77"/>
        <v>0</v>
      </c>
      <c r="R116" s="761">
        <f t="shared" si="78"/>
        <v>0</v>
      </c>
      <c r="S116" s="761">
        <f t="shared" si="79"/>
        <v>0</v>
      </c>
    </row>
    <row r="117" spans="1:19" ht="16">
      <c r="A117" s="588"/>
      <c r="B117" s="595" t="s">
        <v>851</v>
      </c>
      <c r="C117" s="590" t="s">
        <v>852</v>
      </c>
      <c r="D117" s="590" t="s">
        <v>853</v>
      </c>
      <c r="E117" s="590" t="s">
        <v>854</v>
      </c>
      <c r="F117" s="588" t="s">
        <v>855</v>
      </c>
      <c r="G117" s="588" t="s">
        <v>856</v>
      </c>
      <c r="H117" s="592">
        <v>783.96119999999996</v>
      </c>
      <c r="I117" s="592">
        <f t="shared" ref="I117:J117" si="108">H117*5.3%+H117</f>
        <v>825.51114359999997</v>
      </c>
      <c r="J117" s="592">
        <f t="shared" si="108"/>
        <v>869.26323421079996</v>
      </c>
      <c r="K117" s="592">
        <f t="shared" ref="K117:K121" si="109">J117*5.4%+J117</f>
        <v>916.20344885818315</v>
      </c>
      <c r="L117" s="592">
        <f t="shared" ref="L117:L121" si="110">K117*10%+K117</f>
        <v>1007.8237937440015</v>
      </c>
      <c r="M117" s="759">
        <f>L117*5%+L117</f>
        <v>1058.2149834312015</v>
      </c>
      <c r="N117" s="761">
        <f>M117+M117*5.3%</f>
        <v>1114.3003775530551</v>
      </c>
      <c r="O117" s="761">
        <f>N117+N117*4.9%</f>
        <v>1168.9010960531548</v>
      </c>
      <c r="P117" s="912">
        <f t="shared" si="76"/>
        <v>1220.3327442794937</v>
      </c>
      <c r="Q117" s="761">
        <f t="shared" si="77"/>
        <v>1265.485055817835</v>
      </c>
      <c r="R117" s="761">
        <f t="shared" si="78"/>
        <v>1307.2460626598236</v>
      </c>
      <c r="S117" s="761">
        <f t="shared" si="79"/>
        <v>1349.0779366649379</v>
      </c>
    </row>
    <row r="118" spans="1:19" ht="16">
      <c r="A118" s="588"/>
      <c r="B118" s="596" t="s">
        <v>857</v>
      </c>
      <c r="C118" s="590" t="s">
        <v>858</v>
      </c>
      <c r="D118" s="590" t="s">
        <v>859</v>
      </c>
      <c r="E118" s="590" t="s">
        <v>860</v>
      </c>
      <c r="F118" s="588" t="s">
        <v>861</v>
      </c>
      <c r="G118" s="588" t="s">
        <v>862</v>
      </c>
      <c r="H118" s="592">
        <v>1012.8348</v>
      </c>
      <c r="I118" s="592">
        <f t="shared" ref="I118:J118" si="111">H118*5.3%+H118</f>
        <v>1066.5150444000001</v>
      </c>
      <c r="J118" s="592">
        <f t="shared" si="111"/>
        <v>1123.0403417532</v>
      </c>
      <c r="K118" s="592">
        <f t="shared" si="109"/>
        <v>1183.6845202078728</v>
      </c>
      <c r="L118" s="592">
        <f t="shared" si="110"/>
        <v>1302.0529722286601</v>
      </c>
      <c r="M118" s="759">
        <f>L118*5%+L118</f>
        <v>1367.1556208400932</v>
      </c>
      <c r="N118" s="761">
        <f>M118+M118*5.3%</f>
        <v>1439.6148687446182</v>
      </c>
      <c r="O118" s="761">
        <f>N118+N118*4.9%</f>
        <v>1510.1559973131045</v>
      </c>
      <c r="P118" s="912">
        <f t="shared" si="76"/>
        <v>1576.6028611948811</v>
      </c>
      <c r="Q118" s="761">
        <f t="shared" si="77"/>
        <v>1634.9371670590917</v>
      </c>
      <c r="R118" s="761">
        <f t="shared" si="78"/>
        <v>1688.8900935720417</v>
      </c>
      <c r="S118" s="761">
        <f t="shared" si="79"/>
        <v>1742.934576566347</v>
      </c>
    </row>
    <row r="119" spans="1:19" ht="16">
      <c r="A119" s="588">
        <v>39</v>
      </c>
      <c r="B119" s="589" t="s">
        <v>863</v>
      </c>
      <c r="C119" s="590" t="s">
        <v>864</v>
      </c>
      <c r="D119" s="590" t="s">
        <v>865</v>
      </c>
      <c r="E119" s="590" t="s">
        <v>866</v>
      </c>
      <c r="F119" s="588" t="s">
        <v>867</v>
      </c>
      <c r="G119" s="588" t="s">
        <v>868</v>
      </c>
      <c r="H119" s="588">
        <v>11.394</v>
      </c>
      <c r="I119" s="592">
        <f t="shared" ref="I119:J119" si="112">H119*5.3%+H119</f>
        <v>11.997882000000001</v>
      </c>
      <c r="J119" s="592">
        <f t="shared" si="112"/>
        <v>12.633769746</v>
      </c>
      <c r="K119" s="592">
        <f t="shared" si="109"/>
        <v>13.315993312284</v>
      </c>
      <c r="L119" s="592">
        <f t="shared" si="110"/>
        <v>14.6475926435124</v>
      </c>
      <c r="M119" s="759">
        <f>L119*5%+L119</f>
        <v>15.37997227568802</v>
      </c>
      <c r="N119" s="761">
        <f>M119+M119*5.3%</f>
        <v>16.195110806299486</v>
      </c>
      <c r="O119" s="761">
        <f>N119+N119*4.9%</f>
        <v>16.988671235808159</v>
      </c>
      <c r="P119" s="912">
        <f t="shared" si="76"/>
        <v>17.736172770183718</v>
      </c>
      <c r="Q119" s="761">
        <f t="shared" si="77"/>
        <v>18.392411162680514</v>
      </c>
      <c r="R119" s="761">
        <f t="shared" si="78"/>
        <v>18.99936073104897</v>
      </c>
      <c r="S119" s="761">
        <f t="shared" si="79"/>
        <v>19.607340274442539</v>
      </c>
    </row>
    <row r="120" spans="1:19" ht="80">
      <c r="A120" s="589">
        <v>40</v>
      </c>
      <c r="B120" s="589" t="s">
        <v>869</v>
      </c>
      <c r="C120" s="588">
        <v>278</v>
      </c>
      <c r="D120" s="589"/>
      <c r="E120" s="589" t="s">
        <v>870</v>
      </c>
      <c r="F120" s="588" t="s">
        <v>871</v>
      </c>
      <c r="G120" s="588" t="s">
        <v>872</v>
      </c>
      <c r="H120" s="592">
        <v>416.9556</v>
      </c>
      <c r="I120" s="592">
        <f t="shared" ref="I120:J120" si="113">H120*5.3%+H120</f>
        <v>439.05424679999999</v>
      </c>
      <c r="J120" s="592">
        <f t="shared" si="113"/>
        <v>462.32412188039996</v>
      </c>
      <c r="K120" s="592">
        <f t="shared" si="109"/>
        <v>487.28962446194157</v>
      </c>
      <c r="L120" s="592">
        <f t="shared" si="110"/>
        <v>536.01858690813572</v>
      </c>
      <c r="M120" s="759">
        <f>L120*5%+L120</f>
        <v>562.81951625354247</v>
      </c>
      <c r="N120" s="761">
        <f>M120+M120*5.3%</f>
        <v>592.64895061498021</v>
      </c>
      <c r="O120" s="761">
        <f>N120+N120*4.9%</f>
        <v>621.68874919511427</v>
      </c>
      <c r="P120" s="912">
        <f t="shared" si="76"/>
        <v>649.0430541596993</v>
      </c>
      <c r="Q120" s="761">
        <f t="shared" si="77"/>
        <v>673.05764716360818</v>
      </c>
      <c r="R120" s="761">
        <f t="shared" si="78"/>
        <v>695.26854952000724</v>
      </c>
      <c r="S120" s="761">
        <f t="shared" si="79"/>
        <v>717.51714310464752</v>
      </c>
    </row>
    <row r="121" spans="1:19" ht="32">
      <c r="A121" s="588">
        <v>41</v>
      </c>
      <c r="B121" s="589" t="s">
        <v>873</v>
      </c>
      <c r="C121" s="590" t="s">
        <v>874</v>
      </c>
      <c r="D121" s="590" t="s">
        <v>875</v>
      </c>
      <c r="E121" s="590" t="s">
        <v>876</v>
      </c>
      <c r="F121" s="588" t="s">
        <v>875</v>
      </c>
      <c r="G121" s="588" t="s">
        <v>876</v>
      </c>
      <c r="H121" s="592">
        <v>7.3332000000000006</v>
      </c>
      <c r="I121" s="592">
        <f t="shared" ref="I121:J121" si="114">H121*5.3%+H121</f>
        <v>7.7218596000000002</v>
      </c>
      <c r="J121" s="592">
        <f t="shared" si="114"/>
        <v>8.1311181587999997</v>
      </c>
      <c r="K121" s="592">
        <f t="shared" si="109"/>
        <v>8.5701985393752</v>
      </c>
      <c r="L121" s="592">
        <f t="shared" si="110"/>
        <v>9.4272183933127209</v>
      </c>
      <c r="M121" s="759">
        <f>L121*5%+L121</f>
        <v>9.8985793129783577</v>
      </c>
      <c r="N121" s="761">
        <f>M121+M121*5.3%</f>
        <v>10.42320401656621</v>
      </c>
      <c r="O121" s="761">
        <f>N121+N121*4.9%</f>
        <v>10.933941013377954</v>
      </c>
      <c r="P121" s="912">
        <f t="shared" si="76"/>
        <v>11.415034417966584</v>
      </c>
      <c r="Q121" s="761">
        <f t="shared" si="77"/>
        <v>11.837390691431349</v>
      </c>
      <c r="R121" s="761">
        <f t="shared" si="78"/>
        <v>12.228024584248583</v>
      </c>
      <c r="S121" s="761">
        <f t="shared" si="79"/>
        <v>12.619321370944538</v>
      </c>
    </row>
    <row r="122" spans="1:19" ht="16">
      <c r="A122" s="588">
        <v>42</v>
      </c>
      <c r="B122" s="589" t="s">
        <v>877</v>
      </c>
      <c r="C122" s="590" t="s">
        <v>669</v>
      </c>
      <c r="D122" s="590" t="s">
        <v>669</v>
      </c>
      <c r="E122" s="590" t="s">
        <v>669</v>
      </c>
      <c r="F122" s="590" t="s">
        <v>669</v>
      </c>
      <c r="G122" s="590" t="s">
        <v>669</v>
      </c>
      <c r="H122" s="590" t="s">
        <v>669</v>
      </c>
      <c r="I122" s="590" t="s">
        <v>669</v>
      </c>
      <c r="J122" s="590" t="s">
        <v>669</v>
      </c>
      <c r="K122" s="590" t="s">
        <v>669</v>
      </c>
      <c r="L122" s="590" t="s">
        <v>669</v>
      </c>
      <c r="M122" s="760" t="s">
        <v>669</v>
      </c>
      <c r="N122" s="590" t="s">
        <v>669</v>
      </c>
      <c r="O122" s="590" t="s">
        <v>669</v>
      </c>
      <c r="P122" s="911" t="s">
        <v>669</v>
      </c>
      <c r="Q122" s="761" t="s">
        <v>669</v>
      </c>
      <c r="R122" s="761" t="s">
        <v>669</v>
      </c>
      <c r="S122" s="761" t="s">
        <v>669</v>
      </c>
    </row>
    <row r="124" spans="1:19" ht="16">
      <c r="A124" s="1010" t="s">
        <v>376</v>
      </c>
      <c r="B124" s="1010"/>
      <c r="C124" s="1010"/>
      <c r="D124" s="1010"/>
      <c r="E124" s="1010"/>
      <c r="F124" s="1010"/>
      <c r="G124" s="1010"/>
      <c r="H124" s="1010"/>
      <c r="I124" s="1010"/>
      <c r="J124" s="1010"/>
      <c r="K124" s="1010"/>
      <c r="L124" s="1010"/>
      <c r="M124" s="1010"/>
    </row>
    <row r="125" spans="1:19" ht="16">
      <c r="A125" s="1009"/>
      <c r="B125" s="1009"/>
      <c r="C125" s="1009"/>
      <c r="D125" s="1009"/>
      <c r="E125" s="1009"/>
      <c r="F125" s="1009"/>
      <c r="G125" s="1009"/>
      <c r="H125" s="1009"/>
      <c r="I125" s="1009"/>
      <c r="J125" s="1009"/>
      <c r="K125" s="1009"/>
      <c r="L125" s="1009"/>
      <c r="M125" s="1009"/>
    </row>
    <row r="126" spans="1:19" ht="79.5" customHeight="1">
      <c r="A126" s="1009" t="s">
        <v>878</v>
      </c>
      <c r="B126" s="1009"/>
      <c r="C126" s="1009"/>
      <c r="D126" s="1009"/>
      <c r="E126" s="1009"/>
      <c r="F126" s="1009"/>
      <c r="G126" s="1009"/>
      <c r="H126" s="1009"/>
      <c r="I126" s="1009"/>
      <c r="J126" s="1009"/>
      <c r="K126" s="1009"/>
      <c r="L126" s="1009"/>
      <c r="M126" s="1009"/>
      <c r="N126" s="1009"/>
      <c r="O126" s="1009"/>
      <c r="P126" s="1009"/>
    </row>
    <row r="127" spans="1:19" ht="16">
      <c r="A127" s="876"/>
      <c r="I127" s="148"/>
      <c r="J127" s="148"/>
      <c r="K127" s="148"/>
      <c r="L127" s="148"/>
      <c r="M127" s="148"/>
    </row>
    <row r="128" spans="1:19" ht="16">
      <c r="A128" s="876"/>
      <c r="I128" s="148"/>
      <c r="J128" s="148"/>
      <c r="K128" s="148"/>
      <c r="L128" s="148"/>
      <c r="M128" s="148"/>
    </row>
    <row r="129" spans="1:14" ht="17">
      <c r="A129" s="875"/>
      <c r="C129" s="875" t="s">
        <v>879</v>
      </c>
      <c r="I129" s="148"/>
      <c r="J129" s="148"/>
      <c r="K129" s="148"/>
      <c r="L129" s="148"/>
      <c r="M129" s="148"/>
    </row>
    <row r="130" spans="1:14" ht="33" customHeight="1">
      <c r="A130" s="1010" t="s">
        <v>880</v>
      </c>
      <c r="B130" s="1010"/>
      <c r="C130" s="875" t="s">
        <v>382</v>
      </c>
      <c r="I130" s="148"/>
      <c r="J130" s="148"/>
      <c r="K130" s="148"/>
      <c r="L130" s="1010" t="s">
        <v>881</v>
      </c>
      <c r="M130" s="1010"/>
      <c r="N130" s="1010"/>
    </row>
    <row r="132" spans="1:14">
      <c r="A132" t="s">
        <v>882</v>
      </c>
      <c r="L132" t="s">
        <v>883</v>
      </c>
    </row>
    <row r="135" spans="1:14">
      <c r="A135" t="s">
        <v>884</v>
      </c>
      <c r="L135" t="s">
        <v>885</v>
      </c>
    </row>
  </sheetData>
  <mergeCells count="7">
    <mergeCell ref="A14:A15"/>
    <mergeCell ref="A1:L1"/>
    <mergeCell ref="A124:M124"/>
    <mergeCell ref="A125:M125"/>
    <mergeCell ref="A130:B130"/>
    <mergeCell ref="L130:N130"/>
    <mergeCell ref="A126:P126"/>
  </mergeCells>
  <pageMargins left="0.70866141732283472" right="0.70866141732283472" top="0.74803149606299213" bottom="0.74803149606299213" header="0.31496062992125984" footer="0.31496062992125984"/>
  <pageSetup paperSize="9" scale="9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2:G36"/>
  <sheetViews>
    <sheetView workbookViewId="0">
      <selection activeCell="D14" sqref="D14"/>
    </sheetView>
  </sheetViews>
  <sheetFormatPr baseColWidth="10" defaultColWidth="8.83203125" defaultRowHeight="15"/>
  <cols>
    <col min="3" max="3" width="30.1640625" customWidth="1"/>
    <col min="4" max="4" width="20.33203125" customWidth="1"/>
    <col min="5" max="5" width="19.83203125" customWidth="1"/>
    <col min="6" max="6" width="12.5" customWidth="1"/>
    <col min="7" max="7" width="13.6640625" bestFit="1" customWidth="1"/>
  </cols>
  <sheetData>
    <row r="2" spans="1:7" ht="16" thickBot="1"/>
    <row r="3" spans="1:7" ht="16" thickBot="1">
      <c r="A3" s="354" t="s">
        <v>886</v>
      </c>
      <c r="B3" s="355"/>
      <c r="C3" s="355"/>
      <c r="D3" s="356"/>
    </row>
    <row r="4" spans="1:7" ht="16" thickBot="1">
      <c r="A4" s="357" t="s">
        <v>887</v>
      </c>
      <c r="D4" s="358" t="s">
        <v>888</v>
      </c>
      <c r="E4" s="358" t="s">
        <v>889</v>
      </c>
    </row>
    <row r="5" spans="1:7">
      <c r="A5" s="359" t="s">
        <v>890</v>
      </c>
      <c r="B5" s="360"/>
      <c r="C5" s="360"/>
      <c r="D5" s="361"/>
    </row>
    <row r="6" spans="1:7">
      <c r="A6" s="362" t="s">
        <v>891</v>
      </c>
      <c r="D6" s="380">
        <v>0</v>
      </c>
      <c r="E6" s="384">
        <f t="shared" ref="E6:E11" si="0">D6/$D$27</f>
        <v>0</v>
      </c>
      <c r="G6" s="352"/>
    </row>
    <row r="7" spans="1:7">
      <c r="A7" s="362" t="s">
        <v>892</v>
      </c>
      <c r="D7" s="381">
        <v>2423495</v>
      </c>
      <c r="E7" s="385">
        <f t="shared" si="0"/>
        <v>9.4858844209934241E-3</v>
      </c>
      <c r="G7" s="352"/>
    </row>
    <row r="8" spans="1:7">
      <c r="A8" s="362" t="s">
        <v>893</v>
      </c>
      <c r="D8" s="381">
        <v>39018877</v>
      </c>
      <c r="E8" s="385">
        <f t="shared" si="0"/>
        <v>0.15272511701445995</v>
      </c>
      <c r="G8" s="352"/>
    </row>
    <row r="9" spans="1:7">
      <c r="A9" s="362" t="s">
        <v>894</v>
      </c>
      <c r="D9" s="381">
        <v>14921031</v>
      </c>
      <c r="E9" s="385">
        <f t="shared" si="0"/>
        <v>5.8402916246189873E-2</v>
      </c>
      <c r="G9" s="352"/>
    </row>
    <row r="10" spans="1:7">
      <c r="A10" s="362" t="s">
        <v>895</v>
      </c>
      <c r="D10" s="381"/>
      <c r="E10" s="385">
        <f t="shared" si="0"/>
        <v>0</v>
      </c>
      <c r="G10" s="352"/>
    </row>
    <row r="11" spans="1:7" ht="16" thickBot="1">
      <c r="A11" s="364" t="s">
        <v>895</v>
      </c>
      <c r="B11" s="365"/>
      <c r="C11" s="365"/>
      <c r="D11" s="382"/>
      <c r="E11" s="386">
        <f t="shared" si="0"/>
        <v>0</v>
      </c>
      <c r="G11" s="352"/>
    </row>
    <row r="12" spans="1:7" ht="16" thickBot="1">
      <c r="E12" s="383"/>
      <c r="G12" s="353"/>
    </row>
    <row r="13" spans="1:7" ht="16" thickBot="1">
      <c r="A13" s="359"/>
      <c r="B13" s="360"/>
      <c r="C13" s="360"/>
      <c r="D13" s="367"/>
      <c r="E13" s="363"/>
    </row>
    <row r="14" spans="1:7" ht="16" thickBot="1">
      <c r="A14" s="362" t="s">
        <v>896</v>
      </c>
      <c r="D14" s="420">
        <v>42771441</v>
      </c>
      <c r="E14" s="421">
        <f>D14/$D$27</f>
        <v>0.16741315572977844</v>
      </c>
      <c r="G14" s="422"/>
    </row>
    <row r="15" spans="1:7" ht="16" thickBot="1">
      <c r="A15" s="362" t="s">
        <v>897</v>
      </c>
      <c r="D15" s="420">
        <v>17252134</v>
      </c>
      <c r="E15" s="421">
        <f>D15/$D$27</f>
        <v>6.7527165989404128E-2</v>
      </c>
      <c r="G15" s="422"/>
    </row>
    <row r="16" spans="1:7" ht="16" thickBot="1">
      <c r="A16" s="362" t="s">
        <v>898</v>
      </c>
      <c r="D16" s="420">
        <f>'[1]ALL DEPARTMENTS'!$F$149</f>
        <v>-0.13112164296998421</v>
      </c>
      <c r="E16" s="421">
        <f>D16/$D$27</f>
        <v>-5.132276940138251E-10</v>
      </c>
      <c r="G16" s="422"/>
    </row>
    <row r="17" spans="1:7" ht="16" thickBot="1">
      <c r="A17" s="362" t="s">
        <v>899</v>
      </c>
      <c r="D17" s="368"/>
      <c r="E17" s="363"/>
      <c r="G17" s="351"/>
    </row>
    <row r="18" spans="1:7" ht="16" thickBot="1">
      <c r="A18" s="364"/>
      <c r="B18" s="365"/>
      <c r="C18" s="365"/>
      <c r="D18" s="369"/>
      <c r="E18" s="366"/>
      <c r="G18" s="387"/>
    </row>
    <row r="19" spans="1:7" ht="16" thickBot="1">
      <c r="E19" s="366"/>
    </row>
    <row r="20" spans="1:7" ht="16" thickBot="1">
      <c r="E20" s="366"/>
    </row>
    <row r="21" spans="1:7" ht="16" thickBot="1">
      <c r="A21" s="370" t="s">
        <v>900</v>
      </c>
      <c r="B21" s="355"/>
      <c r="C21" s="355"/>
      <c r="D21" s="423">
        <v>142336733</v>
      </c>
      <c r="E21" s="421">
        <f>D21/$D$27</f>
        <v>0.55712506033633269</v>
      </c>
    </row>
    <row r="22" spans="1:7" ht="16" thickBot="1">
      <c r="E22" s="366"/>
    </row>
    <row r="23" spans="1:7" ht="16" thickBot="1">
      <c r="E23" s="366"/>
    </row>
    <row r="24" spans="1:7">
      <c r="A24" s="371" t="s">
        <v>901</v>
      </c>
      <c r="B24" s="360"/>
      <c r="C24" s="360"/>
      <c r="D24" s="372">
        <f>SUM(D6:D21)</f>
        <v>258723710.86887836</v>
      </c>
      <c r="E24" s="366"/>
    </row>
    <row r="25" spans="1:7" ht="16" thickBot="1">
      <c r="A25" s="364" t="s">
        <v>902</v>
      </c>
      <c r="B25" s="365"/>
      <c r="C25" s="365"/>
      <c r="D25" s="388">
        <v>3239362.5</v>
      </c>
      <c r="E25" s="373"/>
    </row>
    <row r="26" spans="1:7" ht="16" thickBot="1">
      <c r="E26" s="352"/>
    </row>
    <row r="27" spans="1:7" ht="16" thickBot="1">
      <c r="A27" s="370" t="s">
        <v>903</v>
      </c>
      <c r="B27" s="355"/>
      <c r="C27" s="355"/>
      <c r="D27" s="374">
        <f>D24-D25</f>
        <v>255484348.36887836</v>
      </c>
      <c r="E27" s="363"/>
    </row>
    <row r="30" spans="1:7">
      <c r="A30" s="375" t="s">
        <v>904</v>
      </c>
    </row>
    <row r="31" spans="1:7">
      <c r="A31" s="375"/>
    </row>
    <row r="32" spans="1:7">
      <c r="A32" s="357" t="s">
        <v>905</v>
      </c>
      <c r="D32" s="378">
        <v>11472276</v>
      </c>
    </row>
    <row r="33" spans="1:4" ht="16" thickBot="1">
      <c r="A33" s="357" t="s">
        <v>906</v>
      </c>
      <c r="D33" s="378">
        <v>1764040</v>
      </c>
    </row>
    <row r="34" spans="1:4" ht="16" thickBot="1">
      <c r="A34" s="357" t="s">
        <v>72</v>
      </c>
      <c r="D34" s="379">
        <f>D33+D32</f>
        <v>13236316</v>
      </c>
    </row>
    <row r="36" spans="1:4">
      <c r="A36" s="357" t="s">
        <v>907</v>
      </c>
      <c r="D36" s="376">
        <f>D27/D34</f>
        <v>19.301771608420225</v>
      </c>
    </row>
  </sheetData>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CQ260"/>
  <sheetViews>
    <sheetView workbookViewId="0">
      <selection activeCell="R18" sqref="R18:R19"/>
    </sheetView>
  </sheetViews>
  <sheetFormatPr baseColWidth="10" defaultColWidth="8.83203125" defaultRowHeight="15"/>
  <cols>
    <col min="1" max="1" width="66.33203125" customWidth="1"/>
    <col min="2" max="2" width="15.83203125" style="425" hidden="1" customWidth="1"/>
    <col min="3" max="3" width="10.5" hidden="1" customWidth="1"/>
    <col min="4" max="4" width="20.83203125" hidden="1" customWidth="1"/>
    <col min="5" max="5" width="16.83203125" style="426" hidden="1" customWidth="1"/>
    <col min="6" max="6" width="11.5" style="338" hidden="1" customWidth="1"/>
    <col min="7" max="7" width="15.83203125" style="293" hidden="1" customWidth="1"/>
    <col min="8" max="8" width="10.5" style="427" hidden="1" customWidth="1"/>
    <col min="9" max="9" width="7" style="338" hidden="1" customWidth="1"/>
    <col min="10" max="10" width="10.83203125" hidden="1" customWidth="1"/>
    <col min="11" max="14" width="10.5" style="427" hidden="1" customWidth="1"/>
    <col min="15" max="16" width="10.5" style="427" bestFit="1" customWidth="1"/>
    <col min="17" max="17" width="14.83203125" style="427" customWidth="1"/>
    <col min="18" max="18" width="14.83203125" style="839" customWidth="1"/>
    <col min="19" max="20" width="14.5" style="345" customWidth="1"/>
  </cols>
  <sheetData>
    <row r="1" spans="1:95">
      <c r="A1" s="424" t="s">
        <v>908</v>
      </c>
    </row>
    <row r="2" spans="1:95">
      <c r="A2" s="428" t="s">
        <v>909</v>
      </c>
    </row>
    <row r="3" spans="1:95">
      <c r="A3" t="s">
        <v>910</v>
      </c>
    </row>
    <row r="4" spans="1:95">
      <c r="A4" s="428" t="s">
        <v>911</v>
      </c>
    </row>
    <row r="5" spans="1:95">
      <c r="A5" s="428" t="s">
        <v>912</v>
      </c>
    </row>
    <row r="6" spans="1:95">
      <c r="A6" s="428" t="s">
        <v>913</v>
      </c>
    </row>
    <row r="7" spans="1:95">
      <c r="A7" t="s">
        <v>914</v>
      </c>
    </row>
    <row r="8" spans="1:95">
      <c r="A8" s="428" t="s">
        <v>915</v>
      </c>
    </row>
    <row r="9" spans="1:95" ht="17" thickBot="1">
      <c r="A9" s="428" t="s">
        <v>916</v>
      </c>
    </row>
    <row r="10" spans="1:95" s="308" customFormat="1" ht="22.5" customHeight="1" thickBot="1">
      <c r="A10" s="1053" t="s">
        <v>917</v>
      </c>
      <c r="B10" s="776" t="s">
        <v>918</v>
      </c>
      <c r="C10" s="777" t="s">
        <v>919</v>
      </c>
      <c r="D10" s="778" t="s">
        <v>920</v>
      </c>
      <c r="E10" s="785" t="s">
        <v>918</v>
      </c>
      <c r="F10" s="779" t="s">
        <v>920</v>
      </c>
      <c r="G10" s="780" t="s">
        <v>920</v>
      </c>
      <c r="H10" s="781" t="s">
        <v>918</v>
      </c>
      <c r="I10" s="782"/>
      <c r="K10" s="783" t="s">
        <v>918</v>
      </c>
      <c r="L10" s="783" t="s">
        <v>918</v>
      </c>
      <c r="M10" s="783" t="s">
        <v>918</v>
      </c>
      <c r="N10" s="783" t="s">
        <v>918</v>
      </c>
      <c r="O10" s="784" t="s">
        <v>918</v>
      </c>
      <c r="P10" s="784" t="s">
        <v>918</v>
      </c>
      <c r="Q10" s="784" t="s">
        <v>918</v>
      </c>
      <c r="R10" s="840" t="s">
        <v>918</v>
      </c>
      <c r="S10" s="861" t="s">
        <v>918</v>
      </c>
      <c r="T10" s="861" t="s">
        <v>918</v>
      </c>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row>
    <row r="11" spans="1:95" ht="16" thickBot="1">
      <c r="A11" s="1054"/>
      <c r="B11" s="432" t="s">
        <v>433</v>
      </c>
      <c r="C11" s="433" t="s">
        <v>921</v>
      </c>
      <c r="D11" s="434" t="s">
        <v>922</v>
      </c>
      <c r="E11" s="786" t="s">
        <v>436</v>
      </c>
      <c r="F11" s="435" t="s">
        <v>923</v>
      </c>
      <c r="G11" s="436" t="s">
        <v>922</v>
      </c>
      <c r="H11" s="437" t="s">
        <v>437</v>
      </c>
      <c r="K11" s="437" t="s">
        <v>438</v>
      </c>
      <c r="L11" s="437" t="s">
        <v>439</v>
      </c>
      <c r="M11" s="437" t="s">
        <v>304</v>
      </c>
      <c r="N11" s="437" t="s">
        <v>305</v>
      </c>
      <c r="O11" s="763" t="s">
        <v>306</v>
      </c>
      <c r="P11" s="763" t="s">
        <v>307</v>
      </c>
      <c r="Q11" s="763" t="s">
        <v>308</v>
      </c>
      <c r="R11" s="841" t="s">
        <v>309</v>
      </c>
      <c r="S11" s="877" t="s">
        <v>310</v>
      </c>
      <c r="T11" s="877" t="s">
        <v>1248</v>
      </c>
    </row>
    <row r="12" spans="1:95">
      <c r="A12" s="1055" t="s">
        <v>924</v>
      </c>
      <c r="B12" s="1056"/>
      <c r="C12" s="1056"/>
      <c r="D12" s="1056"/>
      <c r="E12" s="1056"/>
      <c r="F12" s="1056"/>
      <c r="G12" s="1056"/>
      <c r="H12" s="1056"/>
      <c r="I12" s="1056"/>
      <c r="J12" s="1056"/>
      <c r="K12" s="1057"/>
      <c r="L12" s="1055"/>
      <c r="M12" s="1056"/>
      <c r="N12" s="1055"/>
      <c r="O12" s="1055"/>
      <c r="P12" s="1055"/>
      <c r="Q12" s="1055"/>
      <c r="R12" s="1047"/>
      <c r="S12" s="1036"/>
      <c r="T12" s="1036"/>
    </row>
    <row r="13" spans="1:95" ht="16" thickBot="1">
      <c r="A13" s="1058"/>
      <c r="B13" s="1059"/>
      <c r="C13" s="1059"/>
      <c r="D13" s="1059"/>
      <c r="E13" s="1059"/>
      <c r="F13" s="1059"/>
      <c r="G13" s="1059"/>
      <c r="H13" s="1059"/>
      <c r="I13" s="1059"/>
      <c r="J13" s="1059"/>
      <c r="K13" s="1060"/>
      <c r="L13" s="1058"/>
      <c r="M13" s="1059"/>
      <c r="N13" s="1058"/>
      <c r="O13" s="1058"/>
      <c r="P13" s="1058"/>
      <c r="Q13" s="1058"/>
      <c r="R13" s="1048"/>
      <c r="S13" s="1037"/>
      <c r="T13" s="1037"/>
    </row>
    <row r="14" spans="1:95" ht="16" thickBot="1">
      <c r="A14" s="438" t="s">
        <v>925</v>
      </c>
      <c r="B14" s="1061">
        <v>399.3</v>
      </c>
      <c r="C14" s="1063">
        <v>6.25E-2</v>
      </c>
      <c r="D14" s="1065">
        <f>B14*C14</f>
        <v>24.956250000000001</v>
      </c>
      <c r="E14" s="1067">
        <v>481.87</v>
      </c>
      <c r="F14" s="1069">
        <v>6.9000000000000006E-2</v>
      </c>
      <c r="G14" s="1071">
        <f>E14*F14</f>
        <v>33.249030000000005</v>
      </c>
      <c r="H14" s="1073">
        <f>E14+G14</f>
        <v>515.11903000000007</v>
      </c>
      <c r="I14" s="439"/>
      <c r="J14" s="440"/>
      <c r="K14" s="1075">
        <f>H14+J15</f>
        <v>550.66224307000005</v>
      </c>
      <c r="L14" s="1075">
        <f>K14*5.3%+K14</f>
        <v>579.84734195271005</v>
      </c>
      <c r="M14" s="1075">
        <f>L14*5.4%+L14</f>
        <v>611.15909841815642</v>
      </c>
      <c r="N14" s="1075">
        <f>M14*10%+M14</f>
        <v>672.27500825997208</v>
      </c>
      <c r="O14" s="1083">
        <f>N14*4.9%+N14</f>
        <v>705.21648366471072</v>
      </c>
      <c r="P14" s="1083">
        <f>O14+O14*5.3%</f>
        <v>742.59295729894041</v>
      </c>
      <c r="Q14" s="1083">
        <f>P14+P14*4.9%</f>
        <v>778.98001220658853</v>
      </c>
      <c r="R14" s="1049">
        <f>Q14+Q14*3.7%</f>
        <v>807.80227265823225</v>
      </c>
      <c r="S14" s="1038">
        <f>R14+R14*3.3%</f>
        <v>834.45974765595395</v>
      </c>
      <c r="T14" s="1038">
        <f>S14+S14*3.2%</f>
        <v>861.16245958094453</v>
      </c>
    </row>
    <row r="15" spans="1:95" ht="16" thickBot="1">
      <c r="A15" s="441" t="s">
        <v>926</v>
      </c>
      <c r="B15" s="1062"/>
      <c r="C15" s="1064"/>
      <c r="D15" s="1066"/>
      <c r="E15" s="1068"/>
      <c r="F15" s="1070"/>
      <c r="G15" s="1072"/>
      <c r="H15" s="1074"/>
      <c r="I15" s="442">
        <v>6.9000000000000006E-2</v>
      </c>
      <c r="J15" s="443">
        <f>H14*I15</f>
        <v>35.543213070000007</v>
      </c>
      <c r="K15" s="1076"/>
      <c r="L15" s="1076"/>
      <c r="M15" s="1076"/>
      <c r="N15" s="1076"/>
      <c r="O15" s="1068"/>
      <c r="P15" s="1068"/>
      <c r="Q15" s="1068"/>
      <c r="R15" s="1046"/>
      <c r="S15" s="1039"/>
      <c r="T15" s="1039"/>
    </row>
    <row r="16" spans="1:95" ht="16" thickBot="1">
      <c r="A16" s="441" t="s">
        <v>927</v>
      </c>
      <c r="B16" s="444" t="s">
        <v>928</v>
      </c>
      <c r="C16" s="445">
        <v>6.25E-2</v>
      </c>
      <c r="D16" s="446" t="e">
        <f>B16*C16</f>
        <v>#VALUE!</v>
      </c>
      <c r="E16" s="787">
        <v>159.16</v>
      </c>
      <c r="F16" s="447">
        <v>6.9000000000000006E-2</v>
      </c>
      <c r="G16" s="448">
        <f>E16*F16</f>
        <v>10.982040000000001</v>
      </c>
      <c r="H16" s="449">
        <f>E16+G16</f>
        <v>170.14204000000001</v>
      </c>
      <c r="I16" s="442">
        <v>6.9000000000000006E-2</v>
      </c>
      <c r="J16" s="443">
        <f>H16*I16</f>
        <v>11.739800760000001</v>
      </c>
      <c r="K16" s="449">
        <f>H16+J16</f>
        <v>181.88184076000002</v>
      </c>
      <c r="L16" s="449">
        <f>K16*5.3%+K16</f>
        <v>191.52157832028001</v>
      </c>
      <c r="M16" s="449">
        <f>L16*5.4%+L16</f>
        <v>201.86374354957513</v>
      </c>
      <c r="N16" s="449">
        <f>M16*10%+M16</f>
        <v>222.05011790453264</v>
      </c>
      <c r="O16" s="764">
        <f>N16*4.9%+N16</f>
        <v>232.93057368185475</v>
      </c>
      <c r="P16" s="764">
        <f>O16+O16*5.3%</f>
        <v>245.27589408699305</v>
      </c>
      <c r="Q16" s="764">
        <f>P16+P16*4.9%</f>
        <v>257.29441289725571</v>
      </c>
      <c r="R16" s="847">
        <f>Q16+Q16*3.7%</f>
        <v>266.81430617445415</v>
      </c>
      <c r="S16" s="878">
        <f>R16+R16*3.3%</f>
        <v>275.61917827821111</v>
      </c>
      <c r="T16" s="878">
        <f>S16+S16*3.2%</f>
        <v>284.43899198311385</v>
      </c>
    </row>
    <row r="17" spans="1:20" ht="16" thickBot="1">
      <c r="A17" s="438" t="s">
        <v>929</v>
      </c>
      <c r="B17" s="624"/>
      <c r="C17" s="625"/>
      <c r="D17" s="626"/>
      <c r="E17" s="765"/>
      <c r="F17" s="480"/>
      <c r="G17" s="628"/>
      <c r="H17" s="475"/>
      <c r="I17" s="442"/>
      <c r="J17" s="443"/>
      <c r="K17" s="627"/>
      <c r="L17" s="627"/>
      <c r="M17" s="627"/>
      <c r="N17" s="627"/>
      <c r="O17" s="765"/>
      <c r="P17" s="765"/>
      <c r="Q17" s="487"/>
      <c r="R17" s="842"/>
      <c r="S17" s="863"/>
      <c r="T17" s="863"/>
    </row>
    <row r="18" spans="1:20" ht="16" thickBot="1">
      <c r="A18" s="438" t="s">
        <v>930</v>
      </c>
      <c r="B18" s="624"/>
      <c r="C18" s="625"/>
      <c r="D18" s="626"/>
      <c r="E18" s="765"/>
      <c r="F18" s="480"/>
      <c r="G18" s="628"/>
      <c r="H18" s="475"/>
      <c r="I18" s="442"/>
      <c r="J18" s="443"/>
      <c r="K18" s="627">
        <v>764.27</v>
      </c>
      <c r="L18" s="627">
        <v>804.77</v>
      </c>
      <c r="M18" s="627">
        <f>L18*5.4%+L18</f>
        <v>848.22757999999999</v>
      </c>
      <c r="N18" s="627">
        <f>M18*10%+M18</f>
        <v>933.05033800000001</v>
      </c>
      <c r="O18" s="765">
        <f>N18*4.9%+N18</f>
        <v>978.76980456199999</v>
      </c>
      <c r="P18" s="765">
        <f>O18+O18*5.3%</f>
        <v>1030.644604203786</v>
      </c>
      <c r="Q18" s="627">
        <f>P18+P18*4.9%</f>
        <v>1081.1461898097716</v>
      </c>
      <c r="R18" s="1045">
        <f>Q18+Q18*3.7%</f>
        <v>1121.1485988327331</v>
      </c>
      <c r="S18" s="1040">
        <f>R18+R18*3.3%</f>
        <v>1158.1465025942134</v>
      </c>
      <c r="T18" s="1040">
        <f>S18+S18*3.2%</f>
        <v>1195.2071906772283</v>
      </c>
    </row>
    <row r="19" spans="1:20" ht="16" thickBot="1">
      <c r="A19" s="441" t="s">
        <v>931</v>
      </c>
      <c r="B19" s="624"/>
      <c r="C19" s="625"/>
      <c r="D19" s="626"/>
      <c r="E19" s="765"/>
      <c r="F19" s="480"/>
      <c r="G19" s="628"/>
      <c r="H19" s="475"/>
      <c r="I19" s="442"/>
      <c r="J19" s="443"/>
      <c r="K19" s="627"/>
      <c r="L19" s="627"/>
      <c r="M19" s="627"/>
      <c r="N19" s="627"/>
      <c r="O19" s="765"/>
      <c r="P19" s="765"/>
      <c r="Q19" s="490"/>
      <c r="R19" s="1046"/>
      <c r="S19" s="1041"/>
      <c r="T19" s="1041"/>
    </row>
    <row r="20" spans="1:20" ht="16" thickBot="1">
      <c r="A20" s="438" t="s">
        <v>932</v>
      </c>
      <c r="B20" s="1077" t="s">
        <v>933</v>
      </c>
      <c r="C20" s="1079">
        <v>6.25E-2</v>
      </c>
      <c r="D20" s="1080" t="e">
        <f>B20*C20</f>
        <v>#VALUE!</v>
      </c>
      <c r="E20" s="1083">
        <v>208.81</v>
      </c>
      <c r="F20" s="1084">
        <v>6.9000000000000006E-2</v>
      </c>
      <c r="G20" s="1085">
        <f>E20*F20</f>
        <v>14.407890000000002</v>
      </c>
      <c r="H20" s="1073">
        <f>E20+G20</f>
        <v>223.21789000000001</v>
      </c>
      <c r="I20" s="439"/>
      <c r="J20" s="440"/>
      <c r="K20" s="629">
        <f>H20+J22</f>
        <v>238.61992441000001</v>
      </c>
      <c r="L20" s="629">
        <f t="shared" ref="L20:L28" si="0">K20*5.3%+K20</f>
        <v>251.26678040373002</v>
      </c>
      <c r="M20" s="629">
        <f>L20*5.4%+L20</f>
        <v>264.83518654553143</v>
      </c>
      <c r="N20" s="629">
        <f>M20*10%+M20</f>
        <v>291.31870520008459</v>
      </c>
      <c r="O20" s="766">
        <f>N20*4.9%+N20</f>
        <v>305.59332175488873</v>
      </c>
      <c r="P20" s="766">
        <f>O20+O20*5.3%</f>
        <v>321.78976780789782</v>
      </c>
      <c r="Q20" s="766">
        <f>P20+P20*4.9%</f>
        <v>337.55746643048479</v>
      </c>
      <c r="R20" s="1049">
        <f>Q20+Q20*3.7%</f>
        <v>350.04709268841276</v>
      </c>
      <c r="S20" s="1042">
        <f>R20+R20*3.3%</f>
        <v>361.59864674713037</v>
      </c>
      <c r="T20" s="1042">
        <f>S20+S20*3.2%</f>
        <v>373.16980344303852</v>
      </c>
    </row>
    <row r="21" spans="1:20" ht="16" thickBot="1">
      <c r="A21" s="438" t="s">
        <v>934</v>
      </c>
      <c r="B21" s="1078"/>
      <c r="C21" s="1063"/>
      <c r="D21" s="1081"/>
      <c r="E21" s="1067"/>
      <c r="F21" s="1069"/>
      <c r="G21" s="1086"/>
      <c r="H21" s="1074"/>
      <c r="I21" s="439"/>
      <c r="J21" s="440"/>
      <c r="K21" s="630"/>
      <c r="L21" s="630"/>
      <c r="M21" s="630"/>
      <c r="N21" s="630"/>
      <c r="O21" s="767"/>
      <c r="P21" s="767"/>
      <c r="Q21" s="767"/>
      <c r="R21" s="1046"/>
      <c r="S21" s="1041"/>
      <c r="T21" s="1041"/>
    </row>
    <row r="22" spans="1:20" ht="16" thickBot="1">
      <c r="A22" s="441" t="s">
        <v>935</v>
      </c>
      <c r="B22" s="1062"/>
      <c r="C22" s="1064"/>
      <c r="D22" s="1082"/>
      <c r="E22" s="1068"/>
      <c r="F22" s="1070"/>
      <c r="G22" s="1072"/>
      <c r="H22" s="1074"/>
      <c r="I22" s="442">
        <v>6.9000000000000006E-2</v>
      </c>
      <c r="J22" s="443">
        <f>H20*I22</f>
        <v>15.402034410000002</v>
      </c>
      <c r="K22" s="631"/>
      <c r="L22" s="631"/>
      <c r="M22" s="631"/>
      <c r="N22" s="631"/>
      <c r="O22" s="768"/>
      <c r="P22" s="768"/>
      <c r="Q22" s="768"/>
      <c r="R22" s="844"/>
      <c r="S22" s="862"/>
      <c r="T22" s="862"/>
    </row>
    <row r="23" spans="1:20" ht="16" thickBot="1">
      <c r="A23" s="438" t="s">
        <v>936</v>
      </c>
      <c r="B23" s="1077" t="s">
        <v>937</v>
      </c>
      <c r="C23" s="1079" t="s">
        <v>938</v>
      </c>
      <c r="D23" s="1080" t="e">
        <f>B23*C23</f>
        <v>#VALUE!</v>
      </c>
      <c r="E23" s="1083">
        <v>99.3</v>
      </c>
      <c r="F23" s="1084">
        <v>6.9000000000000006E-2</v>
      </c>
      <c r="G23" s="1085">
        <f>E23*F23</f>
        <v>6.8517000000000001</v>
      </c>
      <c r="H23" s="1073">
        <f>E23+G23</f>
        <v>106.15169999999999</v>
      </c>
      <c r="I23" s="439"/>
      <c r="J23" s="440"/>
      <c r="K23" s="629">
        <f>H23+J25</f>
        <v>113.47616729999999</v>
      </c>
      <c r="L23" s="629">
        <f t="shared" si="0"/>
        <v>119.49040416689999</v>
      </c>
      <c r="M23" s="629">
        <f>L23*5.4%+L23</f>
        <v>125.94288599191259</v>
      </c>
      <c r="N23" s="629">
        <f>M23*10%+M23</f>
        <v>138.53717459110385</v>
      </c>
      <c r="O23" s="766">
        <f>N23*4.9%+N23</f>
        <v>145.32549614606793</v>
      </c>
      <c r="P23" s="766">
        <f>O23+O23*5.3%</f>
        <v>153.02774744180954</v>
      </c>
      <c r="Q23" s="766">
        <f>P23+P23*4.9%</f>
        <v>160.5261070664582</v>
      </c>
      <c r="R23" s="845">
        <f>Q23+Q23*3.7%</f>
        <v>166.46557302791715</v>
      </c>
      <c r="S23" s="345">
        <f>R23+R23*3.3%</f>
        <v>171.95893693783842</v>
      </c>
      <c r="T23" s="345">
        <f>S23+S23*3.2%</f>
        <v>177.46162291984925</v>
      </c>
    </row>
    <row r="24" spans="1:20" ht="16" thickBot="1">
      <c r="A24" s="438" t="s">
        <v>939</v>
      </c>
      <c r="B24" s="1078"/>
      <c r="C24" s="1063"/>
      <c r="D24" s="1081"/>
      <c r="E24" s="1067"/>
      <c r="F24" s="1069"/>
      <c r="G24" s="1086"/>
      <c r="H24" s="1074"/>
      <c r="I24" s="439"/>
      <c r="J24" s="440"/>
      <c r="K24" s="630"/>
      <c r="L24" s="630"/>
      <c r="M24" s="630"/>
      <c r="N24" s="630"/>
      <c r="O24" s="767"/>
      <c r="P24" s="767"/>
      <c r="Q24" s="767"/>
      <c r="R24" s="846"/>
    </row>
    <row r="25" spans="1:20" ht="16" thickBot="1">
      <c r="A25" s="441" t="s">
        <v>940</v>
      </c>
      <c r="B25" s="1062"/>
      <c r="C25" s="1064"/>
      <c r="D25" s="1082"/>
      <c r="E25" s="1068"/>
      <c r="F25" s="1070"/>
      <c r="G25" s="1072"/>
      <c r="H25" s="1074"/>
      <c r="I25" s="442">
        <v>6.9000000000000006E-2</v>
      </c>
      <c r="J25" s="443">
        <f>H23*I25</f>
        <v>7.3244673000000002</v>
      </c>
      <c r="K25" s="631"/>
      <c r="L25" s="631"/>
      <c r="M25" s="631"/>
      <c r="N25" s="631"/>
      <c r="O25" s="768"/>
      <c r="P25" s="768"/>
      <c r="Q25" s="768"/>
      <c r="R25" s="844"/>
      <c r="S25" s="864"/>
      <c r="T25" s="864"/>
    </row>
    <row r="26" spans="1:20" ht="16" thickBot="1">
      <c r="A26" s="441" t="s">
        <v>941</v>
      </c>
      <c r="B26" s="444" t="s">
        <v>942</v>
      </c>
      <c r="C26" s="450" t="s">
        <v>938</v>
      </c>
      <c r="D26" s="451" t="e">
        <f>B26*C26</f>
        <v>#VALUE!</v>
      </c>
      <c r="E26" s="788">
        <v>65.709999999999994</v>
      </c>
      <c r="F26" s="447">
        <v>6.9000000000000006E-2</v>
      </c>
      <c r="G26" s="448">
        <f>E26*F26</f>
        <v>4.5339900000000002</v>
      </c>
      <c r="H26" s="449">
        <f>E26+G26</f>
        <v>70.243989999999997</v>
      </c>
      <c r="I26" s="442">
        <v>6.9000000000000006E-2</v>
      </c>
      <c r="J26" s="443">
        <f>H26*I26</f>
        <v>4.8468353100000003</v>
      </c>
      <c r="K26" s="449">
        <f>H26+J26</f>
        <v>75.09082531</v>
      </c>
      <c r="L26" s="449">
        <f t="shared" si="0"/>
        <v>79.070639051429993</v>
      </c>
      <c r="M26" s="449">
        <f>L26*5.4%+L26</f>
        <v>83.340453560207209</v>
      </c>
      <c r="N26" s="449">
        <f>M26*10%+M26</f>
        <v>91.674498916227932</v>
      </c>
      <c r="O26" s="764">
        <f>N26*4.9%+N26</f>
        <v>96.166549363123096</v>
      </c>
      <c r="P26" s="764">
        <f>O26+O26*5.3%</f>
        <v>101.26337647936862</v>
      </c>
      <c r="Q26" s="764">
        <f>P26+P26*4.9%</f>
        <v>106.22528192685768</v>
      </c>
      <c r="R26" s="847">
        <f>Q26+Q26*3.7%</f>
        <v>110.1556173581514</v>
      </c>
      <c r="S26" s="862">
        <f>R26+R26*3.3%</f>
        <v>113.7907527309704</v>
      </c>
      <c r="T26" s="862">
        <f>S26+S26*3.2%</f>
        <v>117.43205681836145</v>
      </c>
    </row>
    <row r="27" spans="1:20" ht="16" thickBot="1">
      <c r="A27" s="438" t="s">
        <v>943</v>
      </c>
      <c r="B27" s="1077" t="s">
        <v>944</v>
      </c>
      <c r="C27" s="1079" t="s">
        <v>938</v>
      </c>
      <c r="D27" s="1080" t="e">
        <f>B27*C27</f>
        <v>#VALUE!</v>
      </c>
      <c r="E27" s="1083">
        <v>1138.98</v>
      </c>
      <c r="F27" s="1084">
        <v>6.9000000000000006E-2</v>
      </c>
      <c r="G27" s="1085">
        <f>E27*F27</f>
        <v>78.589620000000011</v>
      </c>
      <c r="H27" s="1073">
        <f>E27+G27</f>
        <v>1217.56962</v>
      </c>
      <c r="I27" s="439"/>
      <c r="J27" s="440"/>
      <c r="K27" s="1075">
        <f>H27+J28</f>
        <v>1301.5819237799999</v>
      </c>
      <c r="L27" s="1075">
        <f t="shared" si="0"/>
        <v>1370.5657657403399</v>
      </c>
      <c r="M27" s="1075">
        <f>L27*5.4%+L27</f>
        <v>1444.5763170903183</v>
      </c>
      <c r="N27" s="1075">
        <f>M27*10%+M27</f>
        <v>1589.0339487993501</v>
      </c>
      <c r="O27" s="1083">
        <f>N27*4.9%+N27</f>
        <v>1666.8966122905183</v>
      </c>
      <c r="P27" s="1083">
        <f>O27+O27*5.3%</f>
        <v>1755.2421327419158</v>
      </c>
      <c r="Q27" s="1083">
        <f>P27+P27*4.9%</f>
        <v>1841.2489972462697</v>
      </c>
      <c r="R27" s="1049">
        <f>Q27+Q27*3.7%</f>
        <v>1909.3752101443818</v>
      </c>
      <c r="S27" s="862">
        <f>R27+R27*3.3%</f>
        <v>1972.3845920791464</v>
      </c>
      <c r="T27" s="862">
        <f>S27+S27*3.2%</f>
        <v>2035.500899025679</v>
      </c>
    </row>
    <row r="28" spans="1:20" ht="16" thickBot="1">
      <c r="A28" s="438" t="s">
        <v>945</v>
      </c>
      <c r="B28" s="1078"/>
      <c r="C28" s="1063"/>
      <c r="D28" s="1081"/>
      <c r="E28" s="1067"/>
      <c r="F28" s="1069"/>
      <c r="G28" s="1086"/>
      <c r="H28" s="1087"/>
      <c r="I28" s="442">
        <v>6.9000000000000006E-2</v>
      </c>
      <c r="J28" s="452">
        <f>H27*I28</f>
        <v>84.012303780000011</v>
      </c>
      <c r="K28" s="1088"/>
      <c r="L28" s="1088">
        <f t="shared" si="0"/>
        <v>0</v>
      </c>
      <c r="M28" s="1076">
        <f t="shared" ref="M28:O28" si="1">L28*5.3%+L28</f>
        <v>0</v>
      </c>
      <c r="N28" s="1076">
        <f t="shared" si="1"/>
        <v>0</v>
      </c>
      <c r="O28" s="1068">
        <f t="shared" si="1"/>
        <v>0</v>
      </c>
      <c r="P28" s="1068"/>
      <c r="Q28" s="1068"/>
      <c r="R28" s="1046"/>
      <c r="S28" s="864"/>
      <c r="T28" s="864"/>
    </row>
    <row r="29" spans="1:20">
      <c r="A29" s="1089" t="s">
        <v>946</v>
      </c>
      <c r="B29" s="1090"/>
      <c r="C29" s="1090"/>
      <c r="D29" s="1090"/>
      <c r="E29" s="1090"/>
      <c r="F29" s="1090"/>
      <c r="G29" s="1090"/>
      <c r="H29" s="1090"/>
      <c r="I29" s="1090"/>
      <c r="J29" s="1090"/>
      <c r="K29" s="1091"/>
      <c r="L29" s="1089"/>
      <c r="M29" s="1090"/>
      <c r="N29" s="1090"/>
      <c r="O29" s="1089"/>
      <c r="P29" s="1089"/>
      <c r="Q29" s="1089"/>
      <c r="R29" s="1050"/>
      <c r="S29" s="1043"/>
      <c r="T29" s="1043"/>
    </row>
    <row r="30" spans="1:20" ht="16" thickBot="1">
      <c r="A30" s="1092"/>
      <c r="B30" s="1093"/>
      <c r="C30" s="1093"/>
      <c r="D30" s="1093"/>
      <c r="E30" s="1093"/>
      <c r="F30" s="1093"/>
      <c r="G30" s="1093"/>
      <c r="H30" s="1093"/>
      <c r="I30" s="1093"/>
      <c r="J30" s="1093"/>
      <c r="K30" s="1094"/>
      <c r="L30" s="1092"/>
      <c r="M30" s="1093"/>
      <c r="N30" s="1093"/>
      <c r="O30" s="1092"/>
      <c r="P30" s="1092"/>
      <c r="Q30" s="1092"/>
      <c r="R30" s="1051"/>
      <c r="S30" s="1044"/>
      <c r="T30" s="1044"/>
    </row>
    <row r="31" spans="1:20" ht="16" thickBot="1">
      <c r="A31" s="438" t="s">
        <v>947</v>
      </c>
      <c r="B31" s="1078" t="s">
        <v>933</v>
      </c>
      <c r="C31" s="1063" t="s">
        <v>938</v>
      </c>
      <c r="D31" s="1081" t="e">
        <f>B31*C31</f>
        <v>#VALUE!</v>
      </c>
      <c r="E31" s="1067">
        <v>208.81</v>
      </c>
      <c r="F31" s="1069">
        <v>6.9000000000000006E-2</v>
      </c>
      <c r="G31" s="1071">
        <f>E31*F31</f>
        <v>14.407890000000002</v>
      </c>
      <c r="H31" s="1076">
        <f>E31+G31</f>
        <v>223.21789000000001</v>
      </c>
      <c r="I31" s="453"/>
      <c r="J31" s="454"/>
      <c r="K31" s="1075">
        <f>H31+J32</f>
        <v>238.61992441000001</v>
      </c>
      <c r="L31" s="1075">
        <f>K31*5.3%+K31</f>
        <v>251.26678040373002</v>
      </c>
      <c r="M31" s="1075">
        <f>L31*5.4%+L31</f>
        <v>264.83518654553143</v>
      </c>
      <c r="N31" s="1075">
        <f>M31*10%+M31</f>
        <v>291.31870520008459</v>
      </c>
      <c r="O31" s="1083">
        <f>N31*4.9%+N31</f>
        <v>305.59332175488873</v>
      </c>
      <c r="P31" s="1083">
        <f>O31+O31*5.3%</f>
        <v>321.78976780789782</v>
      </c>
      <c r="Q31" s="1083">
        <f>P31+P31*4.9%</f>
        <v>337.55746643048479</v>
      </c>
      <c r="R31" s="1049">
        <f>Q31+Q31*3.7%</f>
        <v>350.04709268841276</v>
      </c>
      <c r="S31" s="1042">
        <f>R31+R31*3.3%</f>
        <v>361.59864674713037</v>
      </c>
      <c r="T31" s="1042">
        <f>S31+S31*3.2%</f>
        <v>373.16980344303852</v>
      </c>
    </row>
    <row r="32" spans="1:20" ht="16" thickBot="1">
      <c r="A32" s="441" t="s">
        <v>948</v>
      </c>
      <c r="B32" s="1062"/>
      <c r="C32" s="1064"/>
      <c r="D32" s="1082"/>
      <c r="E32" s="1068"/>
      <c r="F32" s="1070"/>
      <c r="G32" s="1072"/>
      <c r="H32" s="1074"/>
      <c r="I32" s="442">
        <v>6.9000000000000006E-2</v>
      </c>
      <c r="J32" s="443">
        <f>H31*I32</f>
        <v>15.402034410000002</v>
      </c>
      <c r="K32" s="1076"/>
      <c r="L32" s="1076"/>
      <c r="M32" s="1076"/>
      <c r="N32" s="1076"/>
      <c r="O32" s="1068"/>
      <c r="P32" s="1068"/>
      <c r="Q32" s="1068"/>
      <c r="R32" s="1046"/>
      <c r="S32" s="1041"/>
      <c r="T32" s="1041"/>
    </row>
    <row r="33" spans="1:20" ht="16" thickBot="1">
      <c r="A33" s="438" t="s">
        <v>949</v>
      </c>
      <c r="B33" s="1077" t="s">
        <v>933</v>
      </c>
      <c r="C33" s="1079" t="s">
        <v>938</v>
      </c>
      <c r="D33" s="1080" t="e">
        <f>B33*C33</f>
        <v>#VALUE!</v>
      </c>
      <c r="E33" s="1083">
        <v>208.81</v>
      </c>
      <c r="F33" s="1084">
        <v>6.9000000000000006E-2</v>
      </c>
      <c r="G33" s="1085">
        <f>E33*F33</f>
        <v>14.407890000000002</v>
      </c>
      <c r="H33" s="1073">
        <f>E33+G33</f>
        <v>223.21789000000001</v>
      </c>
      <c r="I33" s="439"/>
      <c r="J33" s="440"/>
      <c r="K33" s="1075">
        <f>H33+J35</f>
        <v>238.61992441000001</v>
      </c>
      <c r="L33" s="1075">
        <f>K33+5.3%+K33</f>
        <v>477.29284882000002</v>
      </c>
      <c r="M33" s="1075">
        <f>502.89</f>
        <v>502.89</v>
      </c>
      <c r="N33" s="1075">
        <f>M33*10%+M33</f>
        <v>553.17899999999997</v>
      </c>
      <c r="O33" s="1083">
        <f>N33*4.9%+N33</f>
        <v>580.28477099999998</v>
      </c>
      <c r="P33" s="1083">
        <f>O33+O33*5.3%</f>
        <v>611.03986386299994</v>
      </c>
      <c r="Q33" s="1083">
        <f>P33+P33*4.9%</f>
        <v>640.98081719228696</v>
      </c>
      <c r="R33" s="1049">
        <f>Q33+Q33*3.7%</f>
        <v>664.69710742840164</v>
      </c>
      <c r="S33" s="1042">
        <f>R33+R33*3.3%</f>
        <v>686.63211197353894</v>
      </c>
      <c r="T33" s="1042">
        <f>S33+S33*3.2%</f>
        <v>708.60433955669214</v>
      </c>
    </row>
    <row r="34" spans="1:20" ht="16" thickBot="1">
      <c r="A34" s="438" t="s">
        <v>950</v>
      </c>
      <c r="B34" s="1078"/>
      <c r="C34" s="1063"/>
      <c r="D34" s="1081"/>
      <c r="E34" s="1067"/>
      <c r="F34" s="1069"/>
      <c r="G34" s="1086"/>
      <c r="H34" s="1074"/>
      <c r="I34" s="439"/>
      <c r="J34" s="440"/>
      <c r="K34" s="1088"/>
      <c r="L34" s="1088"/>
      <c r="M34" s="1088"/>
      <c r="N34" s="1088"/>
      <c r="O34" s="1067"/>
      <c r="P34" s="1067"/>
      <c r="Q34" s="1067"/>
      <c r="R34" s="1045"/>
      <c r="S34" s="1040"/>
      <c r="T34" s="1040"/>
    </row>
    <row r="35" spans="1:20" ht="16" thickBot="1">
      <c r="A35" s="441" t="s">
        <v>951</v>
      </c>
      <c r="B35" s="1062"/>
      <c r="C35" s="1064"/>
      <c r="D35" s="1082"/>
      <c r="E35" s="1068"/>
      <c r="F35" s="1070"/>
      <c r="G35" s="1072"/>
      <c r="H35" s="1074"/>
      <c r="I35" s="442">
        <v>6.9000000000000006E-2</v>
      </c>
      <c r="J35" s="443">
        <f>H33*I35</f>
        <v>15.402034410000002</v>
      </c>
      <c r="K35" s="1076"/>
      <c r="L35" s="1076"/>
      <c r="M35" s="1076"/>
      <c r="N35" s="1076"/>
      <c r="O35" s="1068"/>
      <c r="P35" s="1068"/>
      <c r="Q35" s="1068"/>
      <c r="R35" s="1046"/>
      <c r="S35" s="1041"/>
      <c r="T35" s="1041"/>
    </row>
    <row r="36" spans="1:20" ht="16" thickBot="1">
      <c r="A36" s="438" t="s">
        <v>952</v>
      </c>
      <c r="B36" s="1077" t="s">
        <v>953</v>
      </c>
      <c r="C36" s="1079" t="s">
        <v>938</v>
      </c>
      <c r="D36" s="1080" t="e">
        <f>B36*C36</f>
        <v>#VALUE!</v>
      </c>
      <c r="E36" s="1083">
        <v>316.87</v>
      </c>
      <c r="F36" s="1084">
        <v>6.9000000000000006E-2</v>
      </c>
      <c r="G36" s="1085">
        <f>E36*F36</f>
        <v>21.864030000000003</v>
      </c>
      <c r="H36" s="1073">
        <f>E36+G36</f>
        <v>338.73403000000002</v>
      </c>
      <c r="I36" s="439"/>
      <c r="J36" s="440"/>
      <c r="K36" s="1075">
        <f>H36+J37</f>
        <v>362.10667807000004</v>
      </c>
      <c r="L36" s="1075">
        <f>K36+5.3%+K36</f>
        <v>724.26635614000008</v>
      </c>
      <c r="M36" s="1075">
        <f>L36*5.4%+L36</f>
        <v>763.37673937156012</v>
      </c>
      <c r="N36" s="1075">
        <f>M36*10%+M36</f>
        <v>839.71441330871608</v>
      </c>
      <c r="O36" s="1083">
        <f>N36*4.9%+N36</f>
        <v>880.86041956084318</v>
      </c>
      <c r="P36" s="1083">
        <f>O36+O36*5.3%</f>
        <v>927.54602179756785</v>
      </c>
      <c r="Q36" s="1083">
        <f>P36+P36*4.9%</f>
        <v>972.99577686564862</v>
      </c>
      <c r="R36" s="1049">
        <f>Q36+Q36*3.7%</f>
        <v>1008.9966206096776</v>
      </c>
      <c r="S36" s="1042">
        <f>R36+R36*3.3%</f>
        <v>1042.293509089797</v>
      </c>
      <c r="T36" s="1042">
        <f>S36+S36*3.2%</f>
        <v>1075.6469013806704</v>
      </c>
    </row>
    <row r="37" spans="1:20" ht="16" thickBot="1">
      <c r="A37" s="438" t="s">
        <v>954</v>
      </c>
      <c r="B37" s="1078"/>
      <c r="C37" s="1063"/>
      <c r="D37" s="1081"/>
      <c r="E37" s="1067"/>
      <c r="F37" s="1069"/>
      <c r="G37" s="1086"/>
      <c r="H37" s="1087"/>
      <c r="I37" s="442">
        <v>6.9000000000000006E-2</v>
      </c>
      <c r="J37" s="452">
        <f>H36*I37</f>
        <v>23.372648070000004</v>
      </c>
      <c r="K37" s="1076"/>
      <c r="L37" s="1076"/>
      <c r="M37" s="1076"/>
      <c r="N37" s="1076"/>
      <c r="O37" s="1068"/>
      <c r="P37" s="1068"/>
      <c r="Q37" s="1068"/>
      <c r="R37" s="1046"/>
      <c r="S37" s="1041"/>
      <c r="T37" s="1041"/>
    </row>
    <row r="38" spans="1:20">
      <c r="A38" s="1089"/>
      <c r="B38" s="1090"/>
      <c r="C38" s="1090"/>
      <c r="D38" s="1090"/>
      <c r="E38" s="1090"/>
      <c r="F38" s="1090"/>
      <c r="G38" s="1090"/>
      <c r="H38" s="1090"/>
      <c r="I38" s="1090"/>
      <c r="J38" s="1090"/>
      <c r="K38" s="1105"/>
      <c r="L38" s="457"/>
      <c r="M38" s="457"/>
      <c r="N38" s="457"/>
      <c r="O38" s="456"/>
      <c r="P38" s="456"/>
      <c r="Q38" s="456"/>
      <c r="R38" s="848"/>
      <c r="S38" s="1033"/>
      <c r="T38" s="1033"/>
    </row>
    <row r="39" spans="1:20">
      <c r="A39" s="1106"/>
      <c r="B39" s="1107"/>
      <c r="C39" s="1107"/>
      <c r="D39" s="1107"/>
      <c r="E39" s="1107"/>
      <c r="F39" s="1107"/>
      <c r="G39" s="1107"/>
      <c r="H39" s="1107"/>
      <c r="I39" s="1107"/>
      <c r="J39" s="1107"/>
      <c r="K39" s="1105"/>
      <c r="L39" s="457"/>
      <c r="M39" s="457"/>
      <c r="N39" s="457"/>
      <c r="O39" s="456"/>
      <c r="P39" s="456"/>
      <c r="Q39" s="456"/>
      <c r="R39" s="848"/>
      <c r="S39" s="1034"/>
      <c r="T39" s="1034"/>
    </row>
    <row r="40" spans="1:20" ht="16" thickBot="1">
      <c r="A40" s="455"/>
      <c r="B40" s="456"/>
      <c r="C40" s="456"/>
      <c r="D40" s="456"/>
      <c r="E40" s="432"/>
      <c r="F40" s="456"/>
      <c r="G40" s="456"/>
      <c r="H40" s="456"/>
      <c r="I40" s="456"/>
      <c r="J40" s="456"/>
      <c r="K40" s="457"/>
      <c r="L40" s="457"/>
      <c r="M40" s="457"/>
      <c r="N40" s="457"/>
      <c r="O40" s="456"/>
      <c r="P40" s="456"/>
      <c r="Q40" s="456"/>
      <c r="R40" s="848"/>
      <c r="S40" s="1032"/>
      <c r="T40" s="1032"/>
    </row>
    <row r="41" spans="1:20" ht="16" thickBot="1">
      <c r="A41" s="458" t="s">
        <v>955</v>
      </c>
      <c r="B41" s="459"/>
      <c r="C41" s="460"/>
      <c r="D41" s="355"/>
      <c r="E41" s="789"/>
      <c r="F41" s="460"/>
      <c r="G41" s="461"/>
      <c r="H41" s="462"/>
      <c r="I41" s="460"/>
      <c r="J41" s="355"/>
      <c r="K41" s="463"/>
      <c r="L41" s="463"/>
      <c r="M41" s="463"/>
      <c r="N41" s="463"/>
      <c r="O41" s="462"/>
      <c r="P41" s="462"/>
      <c r="Q41" s="462"/>
      <c r="R41" s="849"/>
      <c r="S41" s="761"/>
      <c r="T41" s="761"/>
    </row>
    <row r="42" spans="1:20">
      <c r="A42" s="464" t="s">
        <v>956</v>
      </c>
      <c r="B42" s="432"/>
      <c r="C42" s="338"/>
      <c r="K42" s="465"/>
      <c r="L42" s="465"/>
      <c r="M42" s="465"/>
      <c r="N42" s="465"/>
      <c r="S42" s="761"/>
      <c r="T42" s="761"/>
    </row>
    <row r="43" spans="1:20">
      <c r="A43" s="1106" t="s">
        <v>957</v>
      </c>
      <c r="B43" s="1107"/>
      <c r="C43" s="1107"/>
      <c r="D43" s="1107"/>
      <c r="E43" s="1107"/>
      <c r="F43" s="1107"/>
      <c r="G43" s="1107"/>
      <c r="H43" s="1107"/>
      <c r="I43" s="1107"/>
      <c r="J43" s="1107"/>
      <c r="K43" s="1105"/>
      <c r="L43" s="1106"/>
      <c r="M43" s="1107"/>
      <c r="N43" s="1107"/>
      <c r="O43" s="1106"/>
      <c r="P43" s="1106"/>
      <c r="Q43" s="1106"/>
      <c r="R43" s="1052"/>
      <c r="S43" s="1031"/>
      <c r="T43" s="1031"/>
    </row>
    <row r="44" spans="1:20" ht="16" thickBot="1">
      <c r="A44" s="1092"/>
      <c r="B44" s="1093"/>
      <c r="C44" s="1093"/>
      <c r="D44" s="1093"/>
      <c r="E44" s="1093"/>
      <c r="F44" s="1093"/>
      <c r="G44" s="1093"/>
      <c r="H44" s="1093"/>
      <c r="I44" s="1093"/>
      <c r="J44" s="1093"/>
      <c r="K44" s="1094"/>
      <c r="L44" s="1092"/>
      <c r="M44" s="1093"/>
      <c r="N44" s="1093"/>
      <c r="O44" s="1092"/>
      <c r="P44" s="1092"/>
      <c r="Q44" s="1092"/>
      <c r="R44" s="1051"/>
      <c r="S44" s="1032"/>
      <c r="T44" s="1032"/>
    </row>
    <row r="45" spans="1:20" ht="16" thickBot="1">
      <c r="A45" s="438" t="s">
        <v>958</v>
      </c>
      <c r="B45" s="1078" t="s">
        <v>942</v>
      </c>
      <c r="C45" s="1063" t="s">
        <v>938</v>
      </c>
      <c r="D45" s="1081" t="e">
        <f>B45*C45</f>
        <v>#VALUE!</v>
      </c>
      <c r="E45" s="1067">
        <v>65.709999999999994</v>
      </c>
      <c r="F45" s="1069">
        <v>6.9000000000000006E-2</v>
      </c>
      <c r="G45" s="1071">
        <f>E45*F45</f>
        <v>4.5339900000000002</v>
      </c>
      <c r="H45" s="1076">
        <f>E45+G45</f>
        <v>70.243989999999997</v>
      </c>
      <c r="I45" s="453"/>
      <c r="J45" s="454"/>
      <c r="K45" s="1088">
        <f>H45+J46</f>
        <v>75.09082531</v>
      </c>
      <c r="L45" s="1088">
        <f>K45*5.3%+K45</f>
        <v>79.070639051429993</v>
      </c>
      <c r="M45" s="1088">
        <f>L45*5.4%+L45</f>
        <v>83.340453560207209</v>
      </c>
      <c r="N45" s="1088">
        <f>M45*10%+M45</f>
        <v>91.674498916227932</v>
      </c>
      <c r="O45" s="1067">
        <f>N45*4.9%+N45</f>
        <v>96.166549363123096</v>
      </c>
      <c r="P45" s="1067">
        <f>O45+O45*5.3%</f>
        <v>101.26337647936862</v>
      </c>
      <c r="Q45" s="1067">
        <f>P45+P45*4.9%</f>
        <v>106.22528192685768</v>
      </c>
      <c r="R45" s="1045">
        <f>Q45+Q45*3.7%</f>
        <v>110.1556173581514</v>
      </c>
      <c r="S45" s="761">
        <f>R45+R45*3.3%</f>
        <v>113.7907527309704</v>
      </c>
      <c r="T45" s="761">
        <f>S45+S45*3.2%</f>
        <v>117.43205681836145</v>
      </c>
    </row>
    <row r="46" spans="1:20" ht="16" thickBot="1">
      <c r="A46" s="441" t="s">
        <v>959</v>
      </c>
      <c r="B46" s="1062"/>
      <c r="C46" s="1064"/>
      <c r="D46" s="1082"/>
      <c r="E46" s="1068"/>
      <c r="F46" s="1070"/>
      <c r="G46" s="1072"/>
      <c r="H46" s="1074"/>
      <c r="I46" s="442">
        <v>6.9000000000000006E-2</v>
      </c>
      <c r="J46" s="443">
        <f>H45*I46</f>
        <v>4.8468353100000003</v>
      </c>
      <c r="K46" s="1076"/>
      <c r="L46" s="1076"/>
      <c r="M46" s="1076"/>
      <c r="N46" s="1076"/>
      <c r="O46" s="1068"/>
      <c r="P46" s="1068">
        <f t="shared" ref="P46:T50" si="2">O46+O46*0.1</f>
        <v>0</v>
      </c>
      <c r="Q46" s="1068">
        <f t="shared" si="2"/>
        <v>0</v>
      </c>
      <c r="R46" s="1046">
        <f t="shared" si="2"/>
        <v>0</v>
      </c>
      <c r="S46" s="761">
        <f t="shared" si="2"/>
        <v>0</v>
      </c>
      <c r="T46" s="761">
        <f t="shared" si="2"/>
        <v>0</v>
      </c>
    </row>
    <row r="47" spans="1:20" ht="16" thickBot="1">
      <c r="A47" s="438" t="s">
        <v>960</v>
      </c>
      <c r="B47" s="1077" t="s">
        <v>961</v>
      </c>
      <c r="C47" s="1079" t="s">
        <v>938</v>
      </c>
      <c r="D47" s="1080" t="e">
        <f>B47*C47</f>
        <v>#VALUE!</v>
      </c>
      <c r="E47" s="1083">
        <v>143.11000000000001</v>
      </c>
      <c r="F47" s="1084">
        <v>6.9000000000000006E-2</v>
      </c>
      <c r="G47" s="1085">
        <f>E47*F47</f>
        <v>9.8745900000000013</v>
      </c>
      <c r="H47" s="1073">
        <f>E47+G47</f>
        <v>152.98459000000003</v>
      </c>
      <c r="I47" s="439"/>
      <c r="J47" s="440"/>
      <c r="K47" s="1075">
        <f>H47+J48</f>
        <v>163.54052671000002</v>
      </c>
      <c r="L47" s="1088">
        <f>K47*5.3%+K47</f>
        <v>172.20817462563002</v>
      </c>
      <c r="M47" s="1075">
        <f>L47*5.4%+L47</f>
        <v>181.50741605541404</v>
      </c>
      <c r="N47" s="1075">
        <f>M47*10%+M47</f>
        <v>199.65815766095545</v>
      </c>
      <c r="O47" s="1083">
        <f>N47*4.9%+N47</f>
        <v>209.44140738634226</v>
      </c>
      <c r="P47" s="1083">
        <f>O47+O47*5.3%</f>
        <v>220.54180197781841</v>
      </c>
      <c r="Q47" s="1083">
        <f>P47+P47*4.9%</f>
        <v>231.3483502747315</v>
      </c>
      <c r="R47" s="1045">
        <f>Q47+Q47*3.7%</f>
        <v>239.90823923489657</v>
      </c>
      <c r="S47" s="761">
        <f>R47+R47*3.3%</f>
        <v>247.82521112964815</v>
      </c>
      <c r="T47" s="761">
        <f>S47+S47*3.2%</f>
        <v>255.75561788579688</v>
      </c>
    </row>
    <row r="48" spans="1:20" ht="16" thickBot="1">
      <c r="A48" s="441" t="s">
        <v>962</v>
      </c>
      <c r="B48" s="1062"/>
      <c r="C48" s="1064"/>
      <c r="D48" s="1082"/>
      <c r="E48" s="1068"/>
      <c r="F48" s="1070"/>
      <c r="G48" s="1072"/>
      <c r="H48" s="1074"/>
      <c r="I48" s="442">
        <v>6.9000000000000006E-2</v>
      </c>
      <c r="J48" s="443">
        <f>H47*I48</f>
        <v>10.555936710000003</v>
      </c>
      <c r="K48" s="1076"/>
      <c r="L48" s="1076"/>
      <c r="M48" s="1076"/>
      <c r="N48" s="1076"/>
      <c r="O48" s="1068"/>
      <c r="P48" s="1068">
        <f t="shared" si="2"/>
        <v>0</v>
      </c>
      <c r="Q48" s="1068">
        <f t="shared" si="2"/>
        <v>0</v>
      </c>
      <c r="R48" s="1046">
        <f t="shared" si="2"/>
        <v>0</v>
      </c>
      <c r="S48" s="761">
        <f t="shared" si="2"/>
        <v>0</v>
      </c>
      <c r="T48" s="761">
        <f t="shared" si="2"/>
        <v>0</v>
      </c>
    </row>
    <row r="49" spans="1:20" ht="16" thickBot="1">
      <c r="A49" s="438" t="s">
        <v>963</v>
      </c>
      <c r="B49" s="1077" t="s">
        <v>964</v>
      </c>
      <c r="C49" s="1079" t="s">
        <v>938</v>
      </c>
      <c r="D49" s="1080" t="e">
        <f>B49*C49</f>
        <v>#VALUE!</v>
      </c>
      <c r="E49" s="1083">
        <v>384.04</v>
      </c>
      <c r="F49" s="1084">
        <v>6.9000000000000006E-2</v>
      </c>
      <c r="G49" s="466"/>
      <c r="H49" s="1075">
        <f>E49+G50</f>
        <v>410.53876000000002</v>
      </c>
      <c r="I49" s="439"/>
      <c r="J49" s="440"/>
      <c r="K49" s="1075">
        <f>H49+J50</f>
        <v>438.86593444000005</v>
      </c>
      <c r="L49" s="1075">
        <f>K49*5.3%+K49</f>
        <v>462.12582896532007</v>
      </c>
      <c r="M49" s="1075">
        <f>L49*5.4%+L49</f>
        <v>487.08062372944732</v>
      </c>
      <c r="N49" s="1075">
        <f>M49*10%+M49</f>
        <v>535.78868610239203</v>
      </c>
      <c r="O49" s="1083">
        <f>N49*4.9%+N49</f>
        <v>562.04233172140925</v>
      </c>
      <c r="P49" s="1083">
        <f>O49+O49*5.3%</f>
        <v>591.83057530264398</v>
      </c>
      <c r="Q49" s="1083">
        <f>P49+P49*4.9%</f>
        <v>620.83027349247357</v>
      </c>
      <c r="R49" s="1045">
        <f>Q49+Q49*3.7%</f>
        <v>643.80099361169505</v>
      </c>
      <c r="S49" s="879">
        <f>R49+R49*3.3%</f>
        <v>665.04642640088093</v>
      </c>
      <c r="T49" s="879">
        <f>S49+S49*3.2%</f>
        <v>686.32791204570913</v>
      </c>
    </row>
    <row r="50" spans="1:20" ht="16" thickBot="1">
      <c r="A50" s="441" t="s">
        <v>965</v>
      </c>
      <c r="B50" s="1062"/>
      <c r="C50" s="1064"/>
      <c r="D50" s="1082"/>
      <c r="E50" s="1068"/>
      <c r="F50" s="1070"/>
      <c r="G50" s="448">
        <f>E49*F49</f>
        <v>26.498760000000004</v>
      </c>
      <c r="H50" s="1076"/>
      <c r="I50" s="442">
        <v>6.9000000000000006E-2</v>
      </c>
      <c r="J50" s="443">
        <f>H49*I50</f>
        <v>28.327174440000004</v>
      </c>
      <c r="K50" s="1076"/>
      <c r="L50" s="1076"/>
      <c r="M50" s="1076"/>
      <c r="N50" s="1076"/>
      <c r="O50" s="1068"/>
      <c r="P50" s="1068"/>
      <c r="Q50" s="1068"/>
      <c r="R50" s="1046">
        <f t="shared" si="2"/>
        <v>0</v>
      </c>
      <c r="S50" s="862">
        <f t="shared" si="2"/>
        <v>0</v>
      </c>
      <c r="T50" s="862">
        <f t="shared" si="2"/>
        <v>0</v>
      </c>
    </row>
    <row r="51" spans="1:20">
      <c r="A51" s="424"/>
    </row>
    <row r="52" spans="1:20">
      <c r="A52" s="424"/>
    </row>
    <row r="53" spans="1:20">
      <c r="A53" s="424" t="s">
        <v>966</v>
      </c>
    </row>
    <row r="54" spans="1:20">
      <c r="A54" s="428" t="s">
        <v>967</v>
      </c>
    </row>
    <row r="55" spans="1:20">
      <c r="A55" s="428"/>
    </row>
    <row r="56" spans="1:20">
      <c r="A56" s="424" t="s">
        <v>968</v>
      </c>
    </row>
    <row r="57" spans="1:20">
      <c r="A57" s="428"/>
    </row>
    <row r="58" spans="1:20" ht="17" thickBot="1">
      <c r="A58" s="428" t="s">
        <v>916</v>
      </c>
      <c r="S58" s="880"/>
      <c r="T58" s="880"/>
    </row>
    <row r="59" spans="1:20" ht="16" thickBot="1">
      <c r="A59" s="1053" t="s">
        <v>917</v>
      </c>
      <c r="B59" s="429" t="s">
        <v>918</v>
      </c>
      <c r="C59" s="467" t="s">
        <v>920</v>
      </c>
      <c r="D59" s="430" t="s">
        <v>919</v>
      </c>
      <c r="E59" s="790" t="s">
        <v>969</v>
      </c>
      <c r="H59" s="431" t="s">
        <v>918</v>
      </c>
      <c r="I59" s="468"/>
      <c r="J59" s="469"/>
      <c r="K59" s="431" t="s">
        <v>918</v>
      </c>
      <c r="L59" s="431" t="s">
        <v>918</v>
      </c>
      <c r="M59" s="431" t="s">
        <v>918</v>
      </c>
      <c r="N59" s="431" t="s">
        <v>918</v>
      </c>
      <c r="O59" s="762" t="s">
        <v>918</v>
      </c>
      <c r="P59" s="762" t="s">
        <v>918</v>
      </c>
      <c r="Q59" s="762" t="s">
        <v>918</v>
      </c>
      <c r="R59" s="850" t="s">
        <v>918</v>
      </c>
      <c r="S59" s="860" t="s">
        <v>918</v>
      </c>
      <c r="T59" s="860" t="s">
        <v>918</v>
      </c>
    </row>
    <row r="60" spans="1:20" ht="16" thickBot="1">
      <c r="A60" s="1054"/>
      <c r="B60" s="432" t="s">
        <v>433</v>
      </c>
      <c r="C60" s="433" t="s">
        <v>923</v>
      </c>
      <c r="D60" s="434" t="s">
        <v>922</v>
      </c>
      <c r="E60" s="791" t="s">
        <v>436</v>
      </c>
      <c r="H60" s="437" t="s">
        <v>437</v>
      </c>
      <c r="I60" s="470"/>
      <c r="J60" s="471"/>
      <c r="K60" s="437" t="s">
        <v>438</v>
      </c>
      <c r="L60" s="437" t="s">
        <v>439</v>
      </c>
      <c r="M60" s="437" t="s">
        <v>304</v>
      </c>
      <c r="N60" s="437" t="s">
        <v>305</v>
      </c>
      <c r="O60" s="763" t="s">
        <v>306</v>
      </c>
      <c r="P60" s="763" t="s">
        <v>307</v>
      </c>
      <c r="Q60" s="763" t="s">
        <v>308</v>
      </c>
      <c r="R60" s="841" t="s">
        <v>309</v>
      </c>
      <c r="S60" s="866" t="s">
        <v>310</v>
      </c>
      <c r="T60" s="866" t="s">
        <v>1248</v>
      </c>
    </row>
    <row r="61" spans="1:20" ht="15" customHeight="1">
      <c r="A61" s="1101" t="s">
        <v>970</v>
      </c>
      <c r="B61" s="1102"/>
      <c r="C61" s="1102"/>
      <c r="D61" s="1102"/>
      <c r="E61" s="1102"/>
      <c r="F61" s="1102"/>
      <c r="G61" s="1102"/>
      <c r="H61" s="1102"/>
      <c r="I61" s="1102"/>
      <c r="J61" s="1102"/>
      <c r="K61" s="1102"/>
      <c r="L61" s="1102"/>
      <c r="M61" s="1102"/>
      <c r="N61" s="1102"/>
      <c r="O61" s="1146"/>
      <c r="P61" s="1146"/>
      <c r="Q61" s="1146"/>
      <c r="R61" s="1035"/>
      <c r="S61" s="1031"/>
      <c r="T61" s="1031"/>
    </row>
    <row r="62" spans="1:20" ht="16" thickBot="1">
      <c r="A62" s="1103"/>
      <c r="B62" s="1104"/>
      <c r="C62" s="1104"/>
      <c r="D62" s="1104"/>
      <c r="E62" s="1104"/>
      <c r="F62" s="1104"/>
      <c r="G62" s="1104"/>
      <c r="H62" s="1104"/>
      <c r="I62" s="1104"/>
      <c r="J62" s="1104"/>
      <c r="K62" s="1104"/>
      <c r="L62" s="1104"/>
      <c r="M62" s="1104"/>
      <c r="N62" s="1104"/>
      <c r="O62" s="1146"/>
      <c r="P62" s="1146"/>
      <c r="Q62" s="1146"/>
      <c r="R62" s="1035"/>
      <c r="S62" s="1032"/>
      <c r="T62" s="1032"/>
    </row>
    <row r="63" spans="1:20" ht="16" thickBot="1">
      <c r="A63" s="1095" t="s">
        <v>971</v>
      </c>
      <c r="B63" s="1096"/>
      <c r="C63" s="472"/>
      <c r="D63" s="472"/>
      <c r="E63" s="792"/>
      <c r="H63" s="473"/>
      <c r="I63" s="453"/>
      <c r="J63" s="454"/>
      <c r="K63" s="473"/>
      <c r="L63" s="473"/>
      <c r="M63" s="473"/>
      <c r="N63" s="769"/>
      <c r="O63" s="473"/>
      <c r="P63" s="473"/>
      <c r="Q63" s="473"/>
      <c r="R63" s="843"/>
      <c r="S63" s="761"/>
      <c r="T63" s="761"/>
    </row>
    <row r="64" spans="1:20" ht="16" thickBot="1">
      <c r="A64" s="1097" t="s">
        <v>972</v>
      </c>
      <c r="B64" s="1098"/>
      <c r="C64" s="474"/>
      <c r="D64" s="474"/>
      <c r="E64" s="793"/>
      <c r="H64" s="475"/>
      <c r="I64" s="439"/>
      <c r="J64" s="440"/>
      <c r="K64" s="475"/>
      <c r="L64" s="475"/>
      <c r="M64" s="475"/>
      <c r="N64" s="475"/>
      <c r="O64" s="769"/>
      <c r="P64" s="769"/>
      <c r="Q64" s="769"/>
      <c r="R64" s="843"/>
      <c r="S64" s="761"/>
      <c r="T64" s="761"/>
    </row>
    <row r="65" spans="1:20" ht="16" thickBot="1">
      <c r="A65" s="441" t="s">
        <v>973</v>
      </c>
      <c r="B65" s="476">
        <v>1597.2</v>
      </c>
      <c r="C65" s="477" t="s">
        <v>938</v>
      </c>
      <c r="D65" s="451" t="e">
        <f>B65*C65</f>
        <v>#VALUE!</v>
      </c>
      <c r="E65" s="794">
        <v>1927.26</v>
      </c>
      <c r="F65" s="338">
        <v>6.9000000000000006E-2</v>
      </c>
      <c r="G65" s="478">
        <f t="shared" ref="G65:G72" si="3">E65*F65</f>
        <v>132.98094</v>
      </c>
      <c r="H65" s="449">
        <f t="shared" ref="H65:H72" si="4">E65+G65</f>
        <v>2060.2409400000001</v>
      </c>
      <c r="I65" s="442">
        <v>6.9000000000000006E-2</v>
      </c>
      <c r="J65" s="443">
        <f t="shared" ref="J65:J72" si="5">H65*I65</f>
        <v>142.15662486000002</v>
      </c>
      <c r="K65" s="449">
        <f t="shared" ref="K65:K71" si="6">H65+J65</f>
        <v>2202.3975648600003</v>
      </c>
      <c r="L65" s="449">
        <f>K65*5.3%+K65</f>
        <v>2319.1246357975801</v>
      </c>
      <c r="M65" s="449">
        <f t="shared" ref="M65:M72" si="7">L65*5.4%+L65</f>
        <v>2444.3573661306496</v>
      </c>
      <c r="N65" s="449">
        <f t="shared" ref="N65:N72" si="8">M65*10%+M65</f>
        <v>2688.7931027437144</v>
      </c>
      <c r="O65" s="764">
        <f t="shared" ref="O65:O72" si="9">N65*4.9%+N65</f>
        <v>2820.5439647781564</v>
      </c>
      <c r="P65" s="764">
        <f t="shared" ref="P65:P72" si="10">O65+O65*5.3%</f>
        <v>2970.0327949113985</v>
      </c>
      <c r="Q65" s="764">
        <f t="shared" ref="Q65:Q72" si="11">P65+P65*4.9%</f>
        <v>3115.5644018620569</v>
      </c>
      <c r="R65" s="847">
        <f t="shared" ref="R65:R85" si="12">Q65+Q65*3.7%</f>
        <v>3230.840284730953</v>
      </c>
      <c r="S65" s="761">
        <f t="shared" ref="S65:S85" si="13">R65+R65*3.3%</f>
        <v>3337.4580141270744</v>
      </c>
      <c r="T65" s="761">
        <f t="shared" ref="T65:T85" si="14">S65+S65*3.2%</f>
        <v>3444.256670579141</v>
      </c>
    </row>
    <row r="66" spans="1:20" ht="16" thickBot="1">
      <c r="A66" s="441" t="s">
        <v>974</v>
      </c>
      <c r="B66" s="476">
        <v>1674.64</v>
      </c>
      <c r="C66" s="477" t="s">
        <v>938</v>
      </c>
      <c r="D66" s="451" t="e">
        <f>B66*C66</f>
        <v>#VALUE!</v>
      </c>
      <c r="E66" s="794">
        <v>2020.96</v>
      </c>
      <c r="F66" s="338">
        <v>6.9000000000000006E-2</v>
      </c>
      <c r="G66" s="478">
        <f t="shared" si="3"/>
        <v>139.44624000000002</v>
      </c>
      <c r="H66" s="449">
        <f t="shared" si="4"/>
        <v>2160.4062400000003</v>
      </c>
      <c r="I66" s="442">
        <v>6.9000000000000006E-2</v>
      </c>
      <c r="J66" s="443">
        <f t="shared" si="5"/>
        <v>149.06803056000004</v>
      </c>
      <c r="K66" s="449">
        <f t="shared" si="6"/>
        <v>2309.4742705600001</v>
      </c>
      <c r="L66" s="449">
        <f t="shared" ref="L66:L72" si="15">K66*5.3%+K66</f>
        <v>2431.8764068996802</v>
      </c>
      <c r="M66" s="449">
        <f t="shared" si="7"/>
        <v>2563.1977328722628</v>
      </c>
      <c r="N66" s="449">
        <f t="shared" si="8"/>
        <v>2819.5175061594891</v>
      </c>
      <c r="O66" s="764">
        <f t="shared" si="9"/>
        <v>2957.6738639613041</v>
      </c>
      <c r="P66" s="764">
        <f t="shared" si="10"/>
        <v>3114.4305787512531</v>
      </c>
      <c r="Q66" s="764">
        <f t="shared" si="11"/>
        <v>3267.0376771100646</v>
      </c>
      <c r="R66" s="847">
        <f t="shared" si="12"/>
        <v>3387.918071163137</v>
      </c>
      <c r="S66" s="761">
        <f t="shared" si="13"/>
        <v>3499.7193675115204</v>
      </c>
      <c r="T66" s="761">
        <f t="shared" si="14"/>
        <v>3611.710387271889</v>
      </c>
    </row>
    <row r="67" spans="1:20" ht="16" thickBot="1">
      <c r="A67" s="441" t="s">
        <v>975</v>
      </c>
      <c r="B67" s="476">
        <v>1742.4</v>
      </c>
      <c r="C67" s="477" t="s">
        <v>938</v>
      </c>
      <c r="D67" s="479" t="e">
        <f>B67*C67</f>
        <v>#VALUE!</v>
      </c>
      <c r="E67" s="794">
        <v>2102.73</v>
      </c>
      <c r="F67" s="338">
        <v>6.9000000000000006E-2</v>
      </c>
      <c r="G67" s="478">
        <f t="shared" si="3"/>
        <v>145.08837000000003</v>
      </c>
      <c r="H67" s="449">
        <f t="shared" si="4"/>
        <v>2247.81837</v>
      </c>
      <c r="I67" s="442">
        <v>6.9000000000000006E-2</v>
      </c>
      <c r="J67" s="443">
        <f t="shared" si="5"/>
        <v>155.09946753</v>
      </c>
      <c r="K67" s="449">
        <f t="shared" si="6"/>
        <v>2402.9178375299998</v>
      </c>
      <c r="L67" s="449">
        <f t="shared" si="15"/>
        <v>2530.2724829190897</v>
      </c>
      <c r="M67" s="449">
        <f t="shared" si="7"/>
        <v>2666.9071969967208</v>
      </c>
      <c r="N67" s="449">
        <f t="shared" si="8"/>
        <v>2933.597916696393</v>
      </c>
      <c r="O67" s="764">
        <f t="shared" si="9"/>
        <v>3077.3442146145162</v>
      </c>
      <c r="P67" s="764">
        <f t="shared" si="10"/>
        <v>3240.4434579890853</v>
      </c>
      <c r="Q67" s="764">
        <f t="shared" si="11"/>
        <v>3399.2251874305507</v>
      </c>
      <c r="R67" s="847">
        <f t="shared" si="12"/>
        <v>3524.9965193654812</v>
      </c>
      <c r="S67" s="761">
        <f t="shared" si="13"/>
        <v>3641.321404504542</v>
      </c>
      <c r="T67" s="761">
        <f t="shared" si="14"/>
        <v>3757.8436894486872</v>
      </c>
    </row>
    <row r="68" spans="1:20" ht="16" thickBot="1">
      <c r="A68" s="441" t="s">
        <v>976</v>
      </c>
      <c r="B68" s="476">
        <v>1815</v>
      </c>
      <c r="C68" s="477" t="s">
        <v>938</v>
      </c>
      <c r="D68" s="451" t="e">
        <f>C68*B68</f>
        <v>#VALUE!</v>
      </c>
      <c r="E68" s="794">
        <v>2190.34</v>
      </c>
      <c r="F68" s="338">
        <v>6.9000000000000006E-2</v>
      </c>
      <c r="G68" s="478">
        <f t="shared" si="3"/>
        <v>151.13346000000001</v>
      </c>
      <c r="H68" s="449">
        <f t="shared" si="4"/>
        <v>2341.4734600000002</v>
      </c>
      <c r="I68" s="442">
        <v>6.9000000000000006E-2</v>
      </c>
      <c r="J68" s="443">
        <f t="shared" si="5"/>
        <v>161.56166874000002</v>
      </c>
      <c r="K68" s="449">
        <f t="shared" si="6"/>
        <v>2503.0351287400003</v>
      </c>
      <c r="L68" s="449">
        <f t="shared" si="15"/>
        <v>2635.6959905632202</v>
      </c>
      <c r="M68" s="449">
        <f t="shared" si="7"/>
        <v>2778.0235740536341</v>
      </c>
      <c r="N68" s="449">
        <f t="shared" si="8"/>
        <v>3055.8259314589977</v>
      </c>
      <c r="O68" s="764">
        <f t="shared" si="9"/>
        <v>3205.5614021004885</v>
      </c>
      <c r="P68" s="764">
        <f t="shared" si="10"/>
        <v>3375.4561564118144</v>
      </c>
      <c r="Q68" s="764">
        <f t="shared" si="11"/>
        <v>3540.8535080759934</v>
      </c>
      <c r="R68" s="847">
        <f t="shared" si="12"/>
        <v>3671.8650878748053</v>
      </c>
      <c r="S68" s="761">
        <f t="shared" si="13"/>
        <v>3793.0366357746739</v>
      </c>
      <c r="T68" s="761">
        <f t="shared" si="14"/>
        <v>3914.4138081194633</v>
      </c>
    </row>
    <row r="69" spans="1:20" ht="16" thickBot="1">
      <c r="A69" s="441" t="s">
        <v>977</v>
      </c>
      <c r="B69" s="476">
        <v>1879.13</v>
      </c>
      <c r="C69" s="477" t="s">
        <v>938</v>
      </c>
      <c r="D69" s="479" t="e">
        <f>B69*C69</f>
        <v>#VALUE!</v>
      </c>
      <c r="E69" s="794">
        <v>2267.73</v>
      </c>
      <c r="F69" s="338">
        <v>6.9000000000000006E-2</v>
      </c>
      <c r="G69" s="478">
        <f t="shared" si="3"/>
        <v>156.47337000000002</v>
      </c>
      <c r="H69" s="449">
        <f t="shared" si="4"/>
        <v>2424.2033700000002</v>
      </c>
      <c r="I69" s="442">
        <v>6.9000000000000006E-2</v>
      </c>
      <c r="J69" s="443">
        <f t="shared" si="5"/>
        <v>167.27003253000004</v>
      </c>
      <c r="K69" s="449">
        <f t="shared" si="6"/>
        <v>2591.4734025300004</v>
      </c>
      <c r="L69" s="449">
        <f t="shared" si="15"/>
        <v>2728.8214928640905</v>
      </c>
      <c r="M69" s="449">
        <f t="shared" si="7"/>
        <v>2876.1778534787513</v>
      </c>
      <c r="N69" s="449">
        <f t="shared" si="8"/>
        <v>3163.7956388266266</v>
      </c>
      <c r="O69" s="764">
        <f t="shared" si="9"/>
        <v>3318.8216251291315</v>
      </c>
      <c r="P69" s="764">
        <f t="shared" si="10"/>
        <v>3494.7191712609756</v>
      </c>
      <c r="Q69" s="764">
        <f t="shared" si="11"/>
        <v>3665.9604106527636</v>
      </c>
      <c r="R69" s="847">
        <f t="shared" si="12"/>
        <v>3801.6009458469157</v>
      </c>
      <c r="S69" s="761">
        <f t="shared" si="13"/>
        <v>3927.0537770598639</v>
      </c>
      <c r="T69" s="761">
        <f t="shared" si="14"/>
        <v>4052.7194979257797</v>
      </c>
    </row>
    <row r="70" spans="1:20" ht="16" thickBot="1">
      <c r="A70" s="441" t="s">
        <v>978</v>
      </c>
      <c r="B70" s="476">
        <v>1915.43</v>
      </c>
      <c r="C70" s="477" t="s">
        <v>938</v>
      </c>
      <c r="D70" s="479" t="e">
        <f>B70*C70</f>
        <v>#VALUE!</v>
      </c>
      <c r="E70" s="794">
        <v>2311.54</v>
      </c>
      <c r="F70" s="338">
        <v>6.9000000000000006E-2</v>
      </c>
      <c r="G70" s="478">
        <f t="shared" si="3"/>
        <v>159.49626000000001</v>
      </c>
      <c r="H70" s="449">
        <f t="shared" si="4"/>
        <v>2471.0362599999999</v>
      </c>
      <c r="I70" s="442">
        <v>6.9000000000000006E-2</v>
      </c>
      <c r="J70" s="443">
        <f t="shared" si="5"/>
        <v>170.50150194</v>
      </c>
      <c r="K70" s="449">
        <f t="shared" si="6"/>
        <v>2641.5377619399997</v>
      </c>
      <c r="L70" s="449">
        <f t="shared" si="15"/>
        <v>2781.5392633228198</v>
      </c>
      <c r="M70" s="449">
        <f t="shared" si="7"/>
        <v>2931.7423835422519</v>
      </c>
      <c r="N70" s="449">
        <f t="shared" si="8"/>
        <v>3224.916621896477</v>
      </c>
      <c r="O70" s="764">
        <f t="shared" si="9"/>
        <v>3382.9375363694044</v>
      </c>
      <c r="P70" s="764">
        <f t="shared" si="10"/>
        <v>3562.2332257969829</v>
      </c>
      <c r="Q70" s="764">
        <f t="shared" si="11"/>
        <v>3736.7826538610352</v>
      </c>
      <c r="R70" s="847">
        <f t="shared" si="12"/>
        <v>3875.0436120538934</v>
      </c>
      <c r="S70" s="761">
        <f t="shared" si="13"/>
        <v>4002.9200512516718</v>
      </c>
      <c r="T70" s="761">
        <f t="shared" si="14"/>
        <v>4131.013492891725</v>
      </c>
    </row>
    <row r="71" spans="1:20" ht="16" thickBot="1">
      <c r="A71" s="441" t="s">
        <v>979</v>
      </c>
      <c r="B71" s="476">
        <v>1978.35</v>
      </c>
      <c r="C71" s="477" t="s">
        <v>938</v>
      </c>
      <c r="D71" s="479" t="e">
        <f>B71*C71</f>
        <v>#VALUE!</v>
      </c>
      <c r="E71" s="794">
        <v>2387.4699999999998</v>
      </c>
      <c r="F71" s="338">
        <v>6.9000000000000006E-2</v>
      </c>
      <c r="G71" s="478">
        <f t="shared" si="3"/>
        <v>164.73543000000001</v>
      </c>
      <c r="H71" s="449">
        <f t="shared" si="4"/>
        <v>2552.20543</v>
      </c>
      <c r="I71" s="442">
        <v>6.9000000000000006E-2</v>
      </c>
      <c r="J71" s="443">
        <f t="shared" si="5"/>
        <v>176.10217467000001</v>
      </c>
      <c r="K71" s="449">
        <f t="shared" si="6"/>
        <v>2728.3076046699998</v>
      </c>
      <c r="L71" s="449">
        <f t="shared" si="15"/>
        <v>2872.9079077175097</v>
      </c>
      <c r="M71" s="449">
        <f t="shared" si="7"/>
        <v>3028.0449347342551</v>
      </c>
      <c r="N71" s="449">
        <f t="shared" si="8"/>
        <v>3330.8494282076808</v>
      </c>
      <c r="O71" s="764">
        <f t="shared" si="9"/>
        <v>3494.0610501898573</v>
      </c>
      <c r="P71" s="764">
        <f t="shared" si="10"/>
        <v>3679.2462858499198</v>
      </c>
      <c r="Q71" s="764">
        <f t="shared" si="11"/>
        <v>3859.5293538565656</v>
      </c>
      <c r="R71" s="847">
        <f t="shared" si="12"/>
        <v>4002.3319399492584</v>
      </c>
      <c r="S71" s="761">
        <f t="shared" si="13"/>
        <v>4134.4088939675839</v>
      </c>
      <c r="T71" s="761">
        <f t="shared" si="14"/>
        <v>4266.7099785745468</v>
      </c>
    </row>
    <row r="72" spans="1:20" ht="16" thickBot="1">
      <c r="A72" s="441" t="s">
        <v>980</v>
      </c>
      <c r="B72" s="476">
        <v>2677.73</v>
      </c>
      <c r="C72" s="477" t="s">
        <v>938</v>
      </c>
      <c r="D72" s="479" t="e">
        <f>B72*C72</f>
        <v>#VALUE!</v>
      </c>
      <c r="E72" s="794">
        <v>3041.4</v>
      </c>
      <c r="F72" s="338">
        <v>6.9000000000000006E-2</v>
      </c>
      <c r="G72" s="478">
        <f t="shared" si="3"/>
        <v>209.85660000000001</v>
      </c>
      <c r="H72" s="449">
        <f t="shared" si="4"/>
        <v>3251.2566000000002</v>
      </c>
      <c r="I72" s="442">
        <v>6.9000000000000006E-2</v>
      </c>
      <c r="J72" s="443">
        <f t="shared" si="5"/>
        <v>224.33670540000003</v>
      </c>
      <c r="K72" s="449">
        <f>J72+H72</f>
        <v>3475.5933054000002</v>
      </c>
      <c r="L72" s="449">
        <f t="shared" si="15"/>
        <v>3659.7997505862004</v>
      </c>
      <c r="M72" s="449">
        <f t="shared" si="7"/>
        <v>3857.4289371178552</v>
      </c>
      <c r="N72" s="449">
        <f t="shared" si="8"/>
        <v>4243.1718308296404</v>
      </c>
      <c r="O72" s="764">
        <f t="shared" si="9"/>
        <v>4451.0872505402931</v>
      </c>
      <c r="P72" s="764">
        <f t="shared" si="10"/>
        <v>4686.994874818929</v>
      </c>
      <c r="Q72" s="764">
        <f t="shared" si="11"/>
        <v>4916.6576236850569</v>
      </c>
      <c r="R72" s="847">
        <f t="shared" si="12"/>
        <v>5098.5739557614042</v>
      </c>
      <c r="S72" s="761">
        <f t="shared" si="13"/>
        <v>5266.8268963015307</v>
      </c>
      <c r="T72" s="761">
        <f t="shared" si="14"/>
        <v>5435.3653569831795</v>
      </c>
    </row>
    <row r="73" spans="1:20" ht="16" thickBot="1">
      <c r="A73" s="1097" t="s">
        <v>981</v>
      </c>
      <c r="B73" s="1098"/>
      <c r="C73" s="480"/>
      <c r="D73" s="481"/>
      <c r="E73" s="795"/>
      <c r="H73" s="475"/>
      <c r="I73" s="439"/>
      <c r="J73" s="440"/>
      <c r="K73" s="475"/>
      <c r="L73" s="475"/>
      <c r="M73" s="475"/>
      <c r="N73" s="475"/>
      <c r="O73" s="770"/>
      <c r="P73" s="770"/>
      <c r="Q73" s="770"/>
      <c r="R73" s="847">
        <f t="shared" si="12"/>
        <v>0</v>
      </c>
      <c r="S73" s="761">
        <f t="shared" si="13"/>
        <v>0</v>
      </c>
      <c r="T73" s="761">
        <f t="shared" si="14"/>
        <v>0</v>
      </c>
    </row>
    <row r="74" spans="1:20" ht="16" thickBot="1">
      <c r="A74" s="441" t="s">
        <v>982</v>
      </c>
      <c r="B74" s="476">
        <v>1542.75</v>
      </c>
      <c r="C74" s="477" t="s">
        <v>938</v>
      </c>
      <c r="D74" s="479" t="e">
        <f>B74*C74</f>
        <v>#VALUE!</v>
      </c>
      <c r="E74" s="794">
        <v>1861.79</v>
      </c>
      <c r="F74" s="338">
        <v>6.9000000000000006E-2</v>
      </c>
      <c r="G74" s="478">
        <f t="shared" ref="G74:G82" si="16">E74*F74</f>
        <v>128.46351000000001</v>
      </c>
      <c r="H74" s="449">
        <f t="shared" ref="H74:H82" si="17">E74+G74</f>
        <v>1990.25351</v>
      </c>
      <c r="I74" s="442">
        <v>6.9000000000000006E-2</v>
      </c>
      <c r="J74" s="443">
        <f t="shared" ref="J74:J82" si="18">H74*I74</f>
        <v>137.32749219000002</v>
      </c>
      <c r="K74" s="449">
        <f t="shared" ref="K74:K82" si="19">H74+J74</f>
        <v>2127.5810021900002</v>
      </c>
      <c r="L74" s="449">
        <f>K74*5.3%+K74</f>
        <v>2240.34279530607</v>
      </c>
      <c r="M74" s="449">
        <f t="shared" ref="M74:M82" si="20">L74*5.4%+L74</f>
        <v>2361.3213062525979</v>
      </c>
      <c r="N74" s="449">
        <f t="shared" ref="N74:N82" si="21">M74*10%+M74</f>
        <v>2597.4534368778577</v>
      </c>
      <c r="O74" s="764">
        <f t="shared" ref="O74:O82" si="22">N74*4.9%+N74</f>
        <v>2724.7286552848727</v>
      </c>
      <c r="P74" s="764">
        <f t="shared" ref="P74:P82" si="23">O74+O74*5.3%</f>
        <v>2869.1392740149709</v>
      </c>
      <c r="Q74" s="764">
        <f t="shared" ref="Q74:Q82" si="24">P74+P74*4.9%</f>
        <v>3009.7270984417046</v>
      </c>
      <c r="R74" s="847">
        <f t="shared" si="12"/>
        <v>3121.0870010840476</v>
      </c>
      <c r="S74" s="761">
        <f t="shared" si="13"/>
        <v>3224.0828721198213</v>
      </c>
      <c r="T74" s="761">
        <f t="shared" si="14"/>
        <v>3327.2535240276557</v>
      </c>
    </row>
    <row r="75" spans="1:20" ht="16" thickBot="1">
      <c r="A75" s="441" t="s">
        <v>983</v>
      </c>
      <c r="B75" s="476">
        <v>1648.02</v>
      </c>
      <c r="C75" s="477" t="s">
        <v>938</v>
      </c>
      <c r="D75" s="479" t="e">
        <f>B75*C75</f>
        <v>#VALUE!</v>
      </c>
      <c r="E75" s="794">
        <v>1988.83</v>
      </c>
      <c r="F75" s="338">
        <v>6.9000000000000006E-2</v>
      </c>
      <c r="G75" s="478">
        <f t="shared" si="16"/>
        <v>137.22927000000001</v>
      </c>
      <c r="H75" s="449">
        <f t="shared" si="17"/>
        <v>2126.0592699999997</v>
      </c>
      <c r="I75" s="442">
        <v>6.9000000000000006E-2</v>
      </c>
      <c r="J75" s="443">
        <f t="shared" si="18"/>
        <v>146.69808963</v>
      </c>
      <c r="K75" s="449">
        <f t="shared" si="19"/>
        <v>2272.7573596299999</v>
      </c>
      <c r="L75" s="449">
        <f t="shared" ref="L75:L85" si="25">K75*5.3%+K75</f>
        <v>2393.2134996903897</v>
      </c>
      <c r="M75" s="449">
        <f t="shared" si="20"/>
        <v>2522.4470286736705</v>
      </c>
      <c r="N75" s="449">
        <f t="shared" si="21"/>
        <v>2774.6917315410374</v>
      </c>
      <c r="O75" s="764">
        <f t="shared" si="22"/>
        <v>2910.6516263865483</v>
      </c>
      <c r="P75" s="764">
        <f t="shared" si="23"/>
        <v>3064.9161625850352</v>
      </c>
      <c r="Q75" s="764">
        <f t="shared" si="24"/>
        <v>3215.0970545517021</v>
      </c>
      <c r="R75" s="847">
        <f t="shared" si="12"/>
        <v>3334.0556455701148</v>
      </c>
      <c r="S75" s="761">
        <f t="shared" si="13"/>
        <v>3444.0794818739287</v>
      </c>
      <c r="T75" s="761">
        <f t="shared" si="14"/>
        <v>3554.2900252938944</v>
      </c>
    </row>
    <row r="76" spans="1:20" ht="16" thickBot="1">
      <c r="A76" s="441" t="s">
        <v>984</v>
      </c>
      <c r="B76" s="476">
        <v>1752.08</v>
      </c>
      <c r="C76" s="477" t="s">
        <v>938</v>
      </c>
      <c r="D76" s="479" t="e">
        <f>B76*C76</f>
        <v>#VALUE!</v>
      </c>
      <c r="E76" s="794">
        <v>2114.41</v>
      </c>
      <c r="F76" s="338">
        <v>6.9000000000000006E-2</v>
      </c>
      <c r="G76" s="478">
        <f t="shared" si="16"/>
        <v>145.89429000000001</v>
      </c>
      <c r="H76" s="449">
        <f t="shared" si="17"/>
        <v>2260.30429</v>
      </c>
      <c r="I76" s="442">
        <v>6.9000000000000006E-2</v>
      </c>
      <c r="J76" s="443">
        <f t="shared" si="18"/>
        <v>155.96099601</v>
      </c>
      <c r="K76" s="449">
        <f t="shared" si="19"/>
        <v>2416.2652860100002</v>
      </c>
      <c r="L76" s="449">
        <f t="shared" si="25"/>
        <v>2544.3273461685303</v>
      </c>
      <c r="M76" s="449">
        <f t="shared" si="20"/>
        <v>2681.7210228616309</v>
      </c>
      <c r="N76" s="449">
        <f t="shared" si="21"/>
        <v>2949.8931251477939</v>
      </c>
      <c r="O76" s="764">
        <f t="shared" si="22"/>
        <v>3094.4378882800356</v>
      </c>
      <c r="P76" s="764">
        <f t="shared" si="23"/>
        <v>3258.4430963588775</v>
      </c>
      <c r="Q76" s="764">
        <f t="shared" si="24"/>
        <v>3418.1068080804625</v>
      </c>
      <c r="R76" s="847">
        <f t="shared" si="12"/>
        <v>3544.5767599794399</v>
      </c>
      <c r="S76" s="761">
        <f t="shared" si="13"/>
        <v>3661.5477930587613</v>
      </c>
      <c r="T76" s="761">
        <f t="shared" si="14"/>
        <v>3778.7173224366416</v>
      </c>
    </row>
    <row r="77" spans="1:20" ht="16" thickBot="1">
      <c r="A77" s="441" t="s">
        <v>985</v>
      </c>
      <c r="B77" s="476">
        <v>1851.3</v>
      </c>
      <c r="C77" s="477" t="s">
        <v>938</v>
      </c>
      <c r="D77" s="479" t="e">
        <f>B77*C77</f>
        <v>#VALUE!</v>
      </c>
      <c r="E77" s="794">
        <v>2234.15</v>
      </c>
      <c r="F77" s="338">
        <v>6.9000000000000006E-2</v>
      </c>
      <c r="G77" s="478">
        <f t="shared" si="16"/>
        <v>154.15635000000003</v>
      </c>
      <c r="H77" s="449">
        <f t="shared" si="17"/>
        <v>2388.3063500000003</v>
      </c>
      <c r="I77" s="442">
        <v>6.9000000000000006E-2</v>
      </c>
      <c r="J77" s="443">
        <f t="shared" si="18"/>
        <v>164.79313815000003</v>
      </c>
      <c r="K77" s="449">
        <f t="shared" si="19"/>
        <v>2553.0994881500005</v>
      </c>
      <c r="L77" s="449">
        <f t="shared" si="25"/>
        <v>2688.4137610219504</v>
      </c>
      <c r="M77" s="449">
        <f t="shared" si="20"/>
        <v>2833.588104117136</v>
      </c>
      <c r="N77" s="449">
        <f t="shared" si="21"/>
        <v>3116.9469145288494</v>
      </c>
      <c r="O77" s="764">
        <f t="shared" si="22"/>
        <v>3269.6773133407632</v>
      </c>
      <c r="P77" s="764">
        <f t="shared" si="23"/>
        <v>3442.9702109478235</v>
      </c>
      <c r="Q77" s="764">
        <f t="shared" si="24"/>
        <v>3611.6757512842669</v>
      </c>
      <c r="R77" s="847">
        <f t="shared" si="12"/>
        <v>3745.3077540817849</v>
      </c>
      <c r="S77" s="761">
        <f t="shared" si="13"/>
        <v>3868.902909966484</v>
      </c>
      <c r="T77" s="761">
        <f t="shared" si="14"/>
        <v>3992.7078030854113</v>
      </c>
    </row>
    <row r="78" spans="1:20" ht="16" thickBot="1">
      <c r="A78" s="441" t="s">
        <v>986</v>
      </c>
      <c r="B78" s="476">
        <v>1956.57</v>
      </c>
      <c r="C78" s="477" t="s">
        <v>938</v>
      </c>
      <c r="D78" s="479" t="e">
        <f>B78*C78</f>
        <v>#VALUE!</v>
      </c>
      <c r="E78" s="794">
        <v>2361.19</v>
      </c>
      <c r="F78" s="338">
        <v>6.9000000000000006E-2</v>
      </c>
      <c r="G78" s="478">
        <f t="shared" si="16"/>
        <v>162.92211</v>
      </c>
      <c r="H78" s="449">
        <f t="shared" si="17"/>
        <v>2524.11211</v>
      </c>
      <c r="I78" s="442">
        <v>6.9000000000000006E-2</v>
      </c>
      <c r="J78" s="443">
        <f t="shared" si="18"/>
        <v>174.16373559000002</v>
      </c>
      <c r="K78" s="449">
        <f t="shared" si="19"/>
        <v>2698.2758455900002</v>
      </c>
      <c r="L78" s="449">
        <f t="shared" si="25"/>
        <v>2841.2844654062701</v>
      </c>
      <c r="M78" s="449">
        <f t="shared" si="20"/>
        <v>2994.7138265382087</v>
      </c>
      <c r="N78" s="449">
        <f t="shared" si="21"/>
        <v>3294.1852091920296</v>
      </c>
      <c r="O78" s="764">
        <f t="shared" si="22"/>
        <v>3455.6002844424388</v>
      </c>
      <c r="P78" s="764">
        <f t="shared" si="23"/>
        <v>3638.7470995178883</v>
      </c>
      <c r="Q78" s="764">
        <f t="shared" si="24"/>
        <v>3817.0457073942648</v>
      </c>
      <c r="R78" s="847">
        <f t="shared" si="12"/>
        <v>3958.2763985678525</v>
      </c>
      <c r="S78" s="761">
        <f t="shared" si="13"/>
        <v>4088.8995197205918</v>
      </c>
      <c r="T78" s="761">
        <f t="shared" si="14"/>
        <v>4219.7443043516505</v>
      </c>
    </row>
    <row r="79" spans="1:20" ht="16" thickBot="1">
      <c r="A79" s="441" t="s">
        <v>987</v>
      </c>
      <c r="B79" s="476">
        <v>2060.63</v>
      </c>
      <c r="C79" s="477" t="s">
        <v>938</v>
      </c>
      <c r="D79" s="479">
        <v>128.78</v>
      </c>
      <c r="E79" s="794">
        <v>2486.7600000000002</v>
      </c>
      <c r="F79" s="338">
        <v>6.9000000000000006E-2</v>
      </c>
      <c r="G79" s="478">
        <f t="shared" si="16"/>
        <v>171.58644000000004</v>
      </c>
      <c r="H79" s="449">
        <f t="shared" si="17"/>
        <v>2658.3464400000003</v>
      </c>
      <c r="I79" s="442">
        <v>6.9000000000000006E-2</v>
      </c>
      <c r="J79" s="443">
        <f t="shared" si="18"/>
        <v>183.42590436000003</v>
      </c>
      <c r="K79" s="449">
        <f t="shared" si="19"/>
        <v>2841.7723443600003</v>
      </c>
      <c r="L79" s="449">
        <f t="shared" si="25"/>
        <v>2992.3862786110803</v>
      </c>
      <c r="M79" s="449">
        <f t="shared" si="20"/>
        <v>3153.9751376560789</v>
      </c>
      <c r="N79" s="449">
        <f t="shared" si="21"/>
        <v>3469.3726514216869</v>
      </c>
      <c r="O79" s="764">
        <f t="shared" si="22"/>
        <v>3639.3719113413495</v>
      </c>
      <c r="P79" s="764">
        <f t="shared" si="23"/>
        <v>3832.258622642441</v>
      </c>
      <c r="Q79" s="764">
        <f t="shared" si="24"/>
        <v>4020.0392951519207</v>
      </c>
      <c r="R79" s="847">
        <f t="shared" si="12"/>
        <v>4168.7807490725418</v>
      </c>
      <c r="S79" s="761">
        <f t="shared" si="13"/>
        <v>4306.3505137919356</v>
      </c>
      <c r="T79" s="761">
        <f t="shared" si="14"/>
        <v>4444.1537302332772</v>
      </c>
    </row>
    <row r="80" spans="1:20" ht="16" thickBot="1">
      <c r="A80" s="482" t="s">
        <v>988</v>
      </c>
      <c r="B80" s="444" t="s">
        <v>989</v>
      </c>
      <c r="C80" s="477" t="s">
        <v>938</v>
      </c>
      <c r="D80" s="451" t="e">
        <f>B80*C80</f>
        <v>#VALUE!</v>
      </c>
      <c r="E80" s="794">
        <v>481.87</v>
      </c>
      <c r="F80" s="338">
        <v>6.9000000000000006E-2</v>
      </c>
      <c r="G80" s="478">
        <f t="shared" si="16"/>
        <v>33.249030000000005</v>
      </c>
      <c r="H80" s="449">
        <f t="shared" si="17"/>
        <v>515.11903000000007</v>
      </c>
      <c r="I80" s="442">
        <v>6.9000000000000006E-2</v>
      </c>
      <c r="J80" s="443">
        <f t="shared" si="18"/>
        <v>35.543213070000007</v>
      </c>
      <c r="K80" s="449">
        <f t="shared" si="19"/>
        <v>550.66224307000005</v>
      </c>
      <c r="L80" s="449">
        <f t="shared" si="25"/>
        <v>579.84734195271005</v>
      </c>
      <c r="M80" s="449">
        <f t="shared" si="20"/>
        <v>611.15909841815642</v>
      </c>
      <c r="N80" s="449">
        <f t="shared" si="21"/>
        <v>672.27500825997208</v>
      </c>
      <c r="O80" s="764">
        <f t="shared" si="22"/>
        <v>705.21648366471072</v>
      </c>
      <c r="P80" s="764">
        <f t="shared" si="23"/>
        <v>742.59295729894041</v>
      </c>
      <c r="Q80" s="764">
        <f t="shared" si="24"/>
        <v>778.98001220658853</v>
      </c>
      <c r="R80" s="847">
        <f t="shared" si="12"/>
        <v>807.80227265823225</v>
      </c>
      <c r="S80" s="761">
        <f t="shared" si="13"/>
        <v>834.45974765595395</v>
      </c>
      <c r="T80" s="761">
        <f t="shared" si="14"/>
        <v>861.16245958094453</v>
      </c>
    </row>
    <row r="81" spans="1:20" ht="16" thickBot="1">
      <c r="A81" s="483" t="s">
        <v>990</v>
      </c>
      <c r="B81" s="444" t="s">
        <v>991</v>
      </c>
      <c r="C81" s="477" t="s">
        <v>938</v>
      </c>
      <c r="D81" s="451" t="e">
        <f>B81*C81</f>
        <v>#VALUE!</v>
      </c>
      <c r="E81" s="794">
        <v>268.39999999999998</v>
      </c>
      <c r="F81" s="338">
        <v>6.9000000000000006E-2</v>
      </c>
      <c r="G81" s="478">
        <f t="shared" si="16"/>
        <v>18.519600000000001</v>
      </c>
      <c r="H81" s="449">
        <f t="shared" si="17"/>
        <v>286.9196</v>
      </c>
      <c r="I81" s="442">
        <v>6.9000000000000006E-2</v>
      </c>
      <c r="J81" s="443">
        <f t="shared" si="18"/>
        <v>19.797452400000001</v>
      </c>
      <c r="K81" s="449">
        <f t="shared" si="19"/>
        <v>306.7170524</v>
      </c>
      <c r="L81" s="449">
        <f t="shared" si="25"/>
        <v>322.97305617720002</v>
      </c>
      <c r="M81" s="449">
        <f t="shared" si="20"/>
        <v>340.41360121076883</v>
      </c>
      <c r="N81" s="449">
        <f t="shared" si="21"/>
        <v>374.45496133184571</v>
      </c>
      <c r="O81" s="764">
        <f t="shared" si="22"/>
        <v>392.80325443710615</v>
      </c>
      <c r="P81" s="764">
        <f t="shared" si="23"/>
        <v>413.62182692227276</v>
      </c>
      <c r="Q81" s="764">
        <f t="shared" si="24"/>
        <v>433.88929644146413</v>
      </c>
      <c r="R81" s="847">
        <f t="shared" si="12"/>
        <v>449.94320040979829</v>
      </c>
      <c r="S81" s="761">
        <f t="shared" si="13"/>
        <v>464.79132602332163</v>
      </c>
      <c r="T81" s="761">
        <f t="shared" si="14"/>
        <v>479.66464845606794</v>
      </c>
    </row>
    <row r="82" spans="1:20" ht="16" thickBot="1">
      <c r="A82" s="484" t="s">
        <v>992</v>
      </c>
      <c r="B82" s="432" t="s">
        <v>993</v>
      </c>
      <c r="C82" s="485" t="s">
        <v>938</v>
      </c>
      <c r="D82" s="486" t="e">
        <f>B82*C82</f>
        <v>#VALUE!</v>
      </c>
      <c r="E82" s="796">
        <v>87.62</v>
      </c>
      <c r="F82" s="338">
        <v>6.9000000000000006E-2</v>
      </c>
      <c r="G82" s="478">
        <f t="shared" si="16"/>
        <v>6.0457800000000006</v>
      </c>
      <c r="H82" s="487">
        <f t="shared" si="17"/>
        <v>93.665780000000012</v>
      </c>
      <c r="I82" s="442">
        <v>6.9000000000000006E-2</v>
      </c>
      <c r="J82" s="452">
        <f t="shared" si="18"/>
        <v>6.4629388200000015</v>
      </c>
      <c r="K82" s="487">
        <f t="shared" si="19"/>
        <v>100.12871882000002</v>
      </c>
      <c r="L82" s="449">
        <f t="shared" si="25"/>
        <v>105.43554091746002</v>
      </c>
      <c r="M82" s="487">
        <f t="shared" si="20"/>
        <v>111.12906012700286</v>
      </c>
      <c r="N82" s="487">
        <f t="shared" si="21"/>
        <v>122.24196613970315</v>
      </c>
      <c r="O82" s="638">
        <f t="shared" si="22"/>
        <v>128.2318224805486</v>
      </c>
      <c r="P82" s="638">
        <f t="shared" si="23"/>
        <v>135.02810907201768</v>
      </c>
      <c r="Q82" s="638">
        <f t="shared" si="24"/>
        <v>141.64448641654656</v>
      </c>
      <c r="R82" s="847">
        <f t="shared" si="12"/>
        <v>146.88533241395879</v>
      </c>
      <c r="S82" s="761">
        <f t="shared" si="13"/>
        <v>151.73254838361945</v>
      </c>
      <c r="T82" s="761">
        <f t="shared" si="14"/>
        <v>156.58798993189527</v>
      </c>
    </row>
    <row r="83" spans="1:20" ht="16" thickBot="1">
      <c r="A83" s="1099" t="s">
        <v>994</v>
      </c>
      <c r="B83" s="1100"/>
      <c r="C83" s="460"/>
      <c r="D83" s="355"/>
      <c r="E83" s="789"/>
      <c r="F83" s="460"/>
      <c r="G83" s="461"/>
      <c r="H83" s="462"/>
      <c r="I83" s="460"/>
      <c r="J83" s="355"/>
      <c r="K83" s="463"/>
      <c r="L83" s="463"/>
      <c r="M83" s="463"/>
      <c r="N83" s="463"/>
      <c r="O83" s="462"/>
      <c r="P83" s="462"/>
      <c r="Q83" s="462"/>
      <c r="R83" s="847">
        <f t="shared" si="12"/>
        <v>0</v>
      </c>
      <c r="S83" s="761">
        <f t="shared" si="13"/>
        <v>0</v>
      </c>
      <c r="T83" s="761">
        <f t="shared" si="14"/>
        <v>0</v>
      </c>
    </row>
    <row r="84" spans="1:20" ht="29" thickBot="1">
      <c r="A84" s="441" t="s">
        <v>995</v>
      </c>
      <c r="B84" s="444" t="s">
        <v>993</v>
      </c>
      <c r="C84" s="488" t="s">
        <v>938</v>
      </c>
      <c r="D84" s="489" t="e">
        <f>B84*C84</f>
        <v>#VALUE!</v>
      </c>
      <c r="E84" s="797">
        <v>87.62</v>
      </c>
      <c r="F84" s="338">
        <v>6.9000000000000006E-2</v>
      </c>
      <c r="G84" s="478">
        <f>E84*F84</f>
        <v>6.0457800000000006</v>
      </c>
      <c r="H84" s="490">
        <f>E84+G84</f>
        <v>93.665780000000012</v>
      </c>
      <c r="I84" s="442">
        <v>6.9000000000000006E-2</v>
      </c>
      <c r="J84" s="491">
        <f>H84*I84</f>
        <v>6.4629388200000015</v>
      </c>
      <c r="K84" s="490">
        <f>H84+J84</f>
        <v>100.12871882000002</v>
      </c>
      <c r="L84" s="490">
        <f t="shared" si="25"/>
        <v>105.43554091746002</v>
      </c>
      <c r="M84" s="490">
        <f>L84*5.4%+L84</f>
        <v>111.12906012700286</v>
      </c>
      <c r="N84" s="490">
        <f>M84*10%+M84</f>
        <v>122.24196613970315</v>
      </c>
      <c r="O84" s="637">
        <f>N84*4.9%+N84</f>
        <v>128.2318224805486</v>
      </c>
      <c r="P84" s="637">
        <f>O84+O84*5.3%</f>
        <v>135.02810907201768</v>
      </c>
      <c r="Q84" s="637">
        <f>P84+P84*4.9%</f>
        <v>141.64448641654656</v>
      </c>
      <c r="R84" s="847">
        <f t="shared" si="12"/>
        <v>146.88533241395879</v>
      </c>
      <c r="S84" s="761">
        <f t="shared" si="13"/>
        <v>151.73254838361945</v>
      </c>
      <c r="T84" s="761">
        <f t="shared" si="14"/>
        <v>156.58798993189527</v>
      </c>
    </row>
    <row r="85" spans="1:20" ht="16" thickBot="1">
      <c r="A85" s="441" t="s">
        <v>996</v>
      </c>
      <c r="B85" s="444" t="s">
        <v>997</v>
      </c>
      <c r="C85" s="477" t="s">
        <v>938</v>
      </c>
      <c r="D85" s="451" t="e">
        <f>B85*C85</f>
        <v>#VALUE!</v>
      </c>
      <c r="E85" s="794">
        <v>893.66</v>
      </c>
      <c r="F85" s="338">
        <v>6.9000000000000006E-2</v>
      </c>
      <c r="G85" s="478">
        <f>E85*F85</f>
        <v>61.66254</v>
      </c>
      <c r="H85" s="449">
        <f>E85+G85</f>
        <v>955.32254</v>
      </c>
      <c r="I85" s="442">
        <v>6.9000000000000006E-2</v>
      </c>
      <c r="J85" s="443">
        <f>H85*I85</f>
        <v>65.917255260000005</v>
      </c>
      <c r="K85" s="449">
        <f>H85+J85</f>
        <v>1021.2397952600001</v>
      </c>
      <c r="L85" s="490">
        <f t="shared" si="25"/>
        <v>1075.36550440878</v>
      </c>
      <c r="M85" s="449">
        <f>L85*5.4%+L85</f>
        <v>1133.4352416468541</v>
      </c>
      <c r="N85" s="449">
        <f>M85*10%+M85</f>
        <v>1246.7787658115396</v>
      </c>
      <c r="O85" s="764">
        <f>N85*4.9%+N85</f>
        <v>1307.8709253363052</v>
      </c>
      <c r="P85" s="764">
        <f>O85+O85*5.3%</f>
        <v>1377.1880843791294</v>
      </c>
      <c r="Q85" s="764">
        <f>P85+P85*4.9%</f>
        <v>1444.6703005137067</v>
      </c>
      <c r="R85" s="847">
        <f t="shared" si="12"/>
        <v>1498.1231016327138</v>
      </c>
      <c r="S85" s="761">
        <f t="shared" si="13"/>
        <v>1547.5611639865933</v>
      </c>
      <c r="T85" s="761">
        <f t="shared" si="14"/>
        <v>1597.0831212341643</v>
      </c>
    </row>
    <row r="86" spans="1:20" ht="16" thickBot="1">
      <c r="A86" s="1097" t="s">
        <v>998</v>
      </c>
      <c r="B86" s="1098"/>
      <c r="C86" s="492"/>
      <c r="D86" s="472"/>
      <c r="E86" s="792"/>
      <c r="H86" s="475"/>
      <c r="I86" s="439"/>
      <c r="J86" s="440"/>
      <c r="K86" s="475"/>
      <c r="L86" s="475"/>
      <c r="M86" s="475"/>
      <c r="N86" s="475"/>
      <c r="O86" s="770"/>
      <c r="P86" s="770"/>
      <c r="Q86" s="770"/>
      <c r="R86" s="847"/>
      <c r="S86" s="761"/>
      <c r="T86" s="761"/>
    </row>
    <row r="87" spans="1:20" ht="16" thickBot="1">
      <c r="A87" s="1097" t="s">
        <v>999</v>
      </c>
      <c r="B87" s="1098"/>
      <c r="C87" s="493"/>
      <c r="D87" s="474"/>
      <c r="E87" s="793"/>
      <c r="H87" s="475"/>
      <c r="I87" s="439"/>
      <c r="J87" s="440"/>
      <c r="K87" s="475"/>
      <c r="L87" s="475"/>
      <c r="M87" s="475"/>
      <c r="N87" s="475"/>
      <c r="O87" s="770"/>
      <c r="P87" s="770"/>
      <c r="Q87" s="770"/>
      <c r="R87" s="847"/>
      <c r="S87" s="761"/>
      <c r="T87" s="761"/>
    </row>
    <row r="88" spans="1:20" ht="16" thickBot="1">
      <c r="A88" s="441" t="s">
        <v>1000</v>
      </c>
      <c r="B88" s="444" t="s">
        <v>989</v>
      </c>
      <c r="C88" s="477" t="s">
        <v>938</v>
      </c>
      <c r="D88" s="451" t="e">
        <f>B88*C88</f>
        <v>#VALUE!</v>
      </c>
      <c r="E88" s="794">
        <v>481.87</v>
      </c>
      <c r="F88" s="338">
        <v>6.9000000000000006E-2</v>
      </c>
      <c r="G88" s="478">
        <f t="shared" ref="G88:G93" si="26">E88*F88</f>
        <v>33.249030000000005</v>
      </c>
      <c r="H88" s="449">
        <f t="shared" ref="H88:H93" si="27">E88+G88</f>
        <v>515.11903000000007</v>
      </c>
      <c r="I88" s="439">
        <v>6.25E-2</v>
      </c>
      <c r="J88" s="443">
        <f t="shared" ref="J88:J93" si="28">H88*I88</f>
        <v>32.194939375000004</v>
      </c>
      <c r="K88" s="449">
        <f t="shared" ref="K88:K93" si="29">H88+J88</f>
        <v>547.31396937500006</v>
      </c>
      <c r="L88" s="449">
        <f t="shared" ref="L88:L90" si="30">K88*5.3%+K88</f>
        <v>576.32160975187503</v>
      </c>
      <c r="M88" s="449">
        <f>L88*5.4%+L88</f>
        <v>607.44297667847627</v>
      </c>
      <c r="N88" s="449">
        <f>M88*10%+M88</f>
        <v>668.18727434632387</v>
      </c>
      <c r="O88" s="764">
        <f>N88*4.9%+N88</f>
        <v>700.92845078929372</v>
      </c>
      <c r="P88" s="764">
        <f t="shared" ref="P88:P93" si="31">O88+O88*5.3%</f>
        <v>738.07765868112631</v>
      </c>
      <c r="Q88" s="764">
        <f>P88+P88*4.9%</f>
        <v>774.2434639565015</v>
      </c>
      <c r="R88" s="847">
        <f t="shared" ref="R88:T89" si="32">Q88+Q88*4.7%</f>
        <v>810.63290676245708</v>
      </c>
      <c r="S88" s="761">
        <f t="shared" si="32"/>
        <v>848.73265338029262</v>
      </c>
      <c r="T88" s="761">
        <f t="shared" si="32"/>
        <v>888.62308808916634</v>
      </c>
    </row>
    <row r="89" spans="1:20" ht="16" thickBot="1">
      <c r="A89" s="441" t="s">
        <v>1001</v>
      </c>
      <c r="B89" s="444" t="s">
        <v>1002</v>
      </c>
      <c r="C89" s="477" t="s">
        <v>938</v>
      </c>
      <c r="D89" s="451" t="e">
        <f>B89*C89</f>
        <v>#VALUE!</v>
      </c>
      <c r="E89" s="794">
        <v>515.46</v>
      </c>
      <c r="F89" s="338">
        <v>6.9000000000000006E-2</v>
      </c>
      <c r="G89" s="478">
        <f t="shared" si="26"/>
        <v>35.566740000000003</v>
      </c>
      <c r="H89" s="449">
        <f t="shared" si="27"/>
        <v>551.02674000000002</v>
      </c>
      <c r="I89" s="439">
        <v>6.25E-2</v>
      </c>
      <c r="J89" s="443">
        <f t="shared" si="28"/>
        <v>34.439171250000001</v>
      </c>
      <c r="K89" s="449">
        <f t="shared" si="29"/>
        <v>585.46591124999998</v>
      </c>
      <c r="L89" s="449">
        <f t="shared" si="30"/>
        <v>616.49560454624998</v>
      </c>
      <c r="M89" s="449">
        <f>L89*5.4%+L89</f>
        <v>649.78636719174744</v>
      </c>
      <c r="N89" s="449">
        <f>M89*10%+M89</f>
        <v>714.76500391092213</v>
      </c>
      <c r="O89" s="764">
        <f>N89*4.9%+N89</f>
        <v>749.78848910255738</v>
      </c>
      <c r="P89" s="764">
        <f t="shared" si="31"/>
        <v>789.52727902499294</v>
      </c>
      <c r="Q89" s="764">
        <f>P89+P89*4.9%</f>
        <v>828.21411569721761</v>
      </c>
      <c r="R89" s="847">
        <f t="shared" si="32"/>
        <v>867.14017913498685</v>
      </c>
      <c r="S89" s="761">
        <f t="shared" si="32"/>
        <v>907.8957675543312</v>
      </c>
      <c r="T89" s="761">
        <f t="shared" si="32"/>
        <v>950.56686862938477</v>
      </c>
    </row>
    <row r="90" spans="1:20" ht="16" thickBot="1">
      <c r="A90" s="441" t="s">
        <v>1003</v>
      </c>
      <c r="B90" s="444" t="s">
        <v>1004</v>
      </c>
      <c r="C90" s="480" t="s">
        <v>938</v>
      </c>
      <c r="D90" s="480"/>
      <c r="E90" s="795">
        <f>563.03*6.25%+536.03</f>
        <v>571.21937500000001</v>
      </c>
      <c r="F90" s="338">
        <v>6.9000000000000006E-2</v>
      </c>
      <c r="G90" s="814">
        <f t="shared" si="26"/>
        <v>39.414136875000004</v>
      </c>
      <c r="H90" s="449">
        <f t="shared" si="27"/>
        <v>610.63351187500007</v>
      </c>
      <c r="I90" s="439">
        <v>6.3250000000000001E-2</v>
      </c>
      <c r="J90" s="443">
        <f t="shared" si="28"/>
        <v>38.622569626093757</v>
      </c>
      <c r="K90" s="449">
        <f t="shared" si="29"/>
        <v>649.25608150109383</v>
      </c>
      <c r="L90" s="449">
        <f t="shared" si="30"/>
        <v>683.66665382065185</v>
      </c>
      <c r="M90" s="449">
        <f>L90*5.4%+L90</f>
        <v>720.58465312696705</v>
      </c>
      <c r="N90" s="449">
        <f>M90*10%+M90</f>
        <v>792.64311843966379</v>
      </c>
      <c r="O90" s="764">
        <f t="shared" ref="O90:O93" si="33">N90*5%+N90</f>
        <v>832.27527436164701</v>
      </c>
      <c r="P90" s="764">
        <f t="shared" si="31"/>
        <v>876.38586390281432</v>
      </c>
      <c r="Q90" s="764">
        <f t="shared" ref="Q90" si="34">P90+P90*5%</f>
        <v>920.20515709795507</v>
      </c>
      <c r="R90" s="847">
        <f t="shared" ref="R90:R101" si="35">Q90+Q90*3.7%</f>
        <v>954.25274791057939</v>
      </c>
      <c r="S90" s="761">
        <f t="shared" ref="S90:S101" si="36">R90+R90*3.3%</f>
        <v>985.74308859162852</v>
      </c>
      <c r="T90" s="761">
        <f t="shared" ref="T90:T101" si="37">S90+S90*3.2%</f>
        <v>1017.2868674265607</v>
      </c>
    </row>
    <row r="91" spans="1:20" ht="16" thickBot="1">
      <c r="A91" s="441" t="s">
        <v>1005</v>
      </c>
      <c r="B91" s="444" t="s">
        <v>1006</v>
      </c>
      <c r="C91" s="477">
        <v>6.25E-2</v>
      </c>
      <c r="D91" s="451" t="e">
        <f>B91*C91</f>
        <v>#VALUE!</v>
      </c>
      <c r="E91" s="794">
        <v>733.7</v>
      </c>
      <c r="F91" s="338">
        <v>6.9000000000000006E-2</v>
      </c>
      <c r="G91" s="478">
        <f t="shared" si="26"/>
        <v>50.62530000000001</v>
      </c>
      <c r="H91" s="449">
        <f t="shared" si="27"/>
        <v>784.32530000000008</v>
      </c>
      <c r="I91" s="442">
        <v>6.9000000000000006E-2</v>
      </c>
      <c r="J91" s="443">
        <f t="shared" si="28"/>
        <v>54.118445700000009</v>
      </c>
      <c r="K91" s="449">
        <f t="shared" si="29"/>
        <v>838.44374570000014</v>
      </c>
      <c r="L91" s="449">
        <f t="shared" ref="L91:L93" si="38">K91*5.3%+K91</f>
        <v>882.88126422210019</v>
      </c>
      <c r="M91" s="449">
        <f t="shared" ref="M91:M93" si="39">L91*5.4%+L91</f>
        <v>930.55685249009366</v>
      </c>
      <c r="N91" s="449">
        <f t="shared" ref="N91:N93" si="40">M91*10%+M91</f>
        <v>1023.612537739103</v>
      </c>
      <c r="O91" s="764">
        <f t="shared" si="33"/>
        <v>1074.7931646260581</v>
      </c>
      <c r="P91" s="764">
        <f t="shared" si="31"/>
        <v>1131.7572023512391</v>
      </c>
      <c r="Q91" s="764">
        <f t="shared" ref="Q91:Q93" si="41">P91+P91*5%</f>
        <v>1188.3450624688012</v>
      </c>
      <c r="R91" s="847">
        <f t="shared" si="35"/>
        <v>1232.3138297801468</v>
      </c>
      <c r="S91" s="761">
        <f t="shared" si="36"/>
        <v>1272.9801861628916</v>
      </c>
      <c r="T91" s="761">
        <f t="shared" si="37"/>
        <v>1313.7155521201041</v>
      </c>
    </row>
    <row r="92" spans="1:20" ht="16" thickBot="1">
      <c r="A92" s="441" t="s">
        <v>1007</v>
      </c>
      <c r="B92" s="444" t="s">
        <v>1008</v>
      </c>
      <c r="C92" s="477">
        <v>6.25E-2</v>
      </c>
      <c r="D92" s="451" t="e">
        <f>B92*C92</f>
        <v>#VALUE!</v>
      </c>
      <c r="E92" s="794">
        <v>816.27</v>
      </c>
      <c r="F92" s="338">
        <v>6.9000000000000006E-2</v>
      </c>
      <c r="G92" s="478">
        <f t="shared" si="26"/>
        <v>56.322630000000004</v>
      </c>
      <c r="H92" s="449">
        <f t="shared" si="27"/>
        <v>872.59262999999999</v>
      </c>
      <c r="I92" s="442">
        <v>6.9000000000000006E-2</v>
      </c>
      <c r="J92" s="443">
        <f t="shared" si="28"/>
        <v>60.208891470000005</v>
      </c>
      <c r="K92" s="449">
        <f t="shared" si="29"/>
        <v>932.80152147000001</v>
      </c>
      <c r="L92" s="449">
        <f t="shared" si="38"/>
        <v>982.24000210790996</v>
      </c>
      <c r="M92" s="449">
        <f t="shared" si="39"/>
        <v>1035.2809622217371</v>
      </c>
      <c r="N92" s="449">
        <f t="shared" si="40"/>
        <v>1138.8090584439108</v>
      </c>
      <c r="O92" s="764">
        <f t="shared" si="33"/>
        <v>1195.7495113661064</v>
      </c>
      <c r="P92" s="764">
        <f t="shared" si="31"/>
        <v>1259.1242354685101</v>
      </c>
      <c r="Q92" s="764">
        <f t="shared" si="41"/>
        <v>1322.0804472419356</v>
      </c>
      <c r="R92" s="847">
        <f t="shared" si="35"/>
        <v>1370.9974237898873</v>
      </c>
      <c r="S92" s="761">
        <f t="shared" si="36"/>
        <v>1416.2403387749537</v>
      </c>
      <c r="T92" s="761">
        <f t="shared" si="37"/>
        <v>1461.5600296157522</v>
      </c>
    </row>
    <row r="93" spans="1:20" ht="16" thickBot="1">
      <c r="A93" s="441" t="s">
        <v>1009</v>
      </c>
      <c r="B93" s="444" t="s">
        <v>1010</v>
      </c>
      <c r="C93" s="477">
        <v>6.25E-2</v>
      </c>
      <c r="D93" s="451" t="e">
        <f>B93*C93</f>
        <v>#VALUE!</v>
      </c>
      <c r="E93" s="794">
        <v>887.82</v>
      </c>
      <c r="F93" s="338">
        <v>6.9000000000000006E-2</v>
      </c>
      <c r="G93" s="478">
        <f t="shared" si="26"/>
        <v>61.259580000000007</v>
      </c>
      <c r="H93" s="449">
        <f t="shared" si="27"/>
        <v>949.07958000000008</v>
      </c>
      <c r="I93" s="442">
        <v>6.9000000000000006E-2</v>
      </c>
      <c r="J93" s="443">
        <f t="shared" si="28"/>
        <v>65.486491020000017</v>
      </c>
      <c r="K93" s="449">
        <f t="shared" si="29"/>
        <v>1014.5660710200001</v>
      </c>
      <c r="L93" s="449">
        <f t="shared" si="38"/>
        <v>1068.3380727840602</v>
      </c>
      <c r="M93" s="449">
        <f t="shared" si="39"/>
        <v>1126.0283287143993</v>
      </c>
      <c r="N93" s="449">
        <f t="shared" si="40"/>
        <v>1238.6311615858392</v>
      </c>
      <c r="O93" s="764">
        <f t="shared" si="33"/>
        <v>1300.5627196651312</v>
      </c>
      <c r="P93" s="764">
        <f t="shared" si="31"/>
        <v>1369.4925438073833</v>
      </c>
      <c r="Q93" s="764">
        <f t="shared" si="41"/>
        <v>1437.9671709977524</v>
      </c>
      <c r="R93" s="847">
        <f t="shared" si="35"/>
        <v>1491.1719563246693</v>
      </c>
      <c r="S93" s="761">
        <f t="shared" si="36"/>
        <v>1540.3806308833834</v>
      </c>
      <c r="T93" s="761">
        <f t="shared" si="37"/>
        <v>1589.6728110716517</v>
      </c>
    </row>
    <row r="94" spans="1:20" ht="16" thickBot="1">
      <c r="A94" s="1097" t="s">
        <v>1011</v>
      </c>
      <c r="B94" s="1098"/>
      <c r="C94" s="480"/>
      <c r="D94" s="481"/>
      <c r="E94" s="795"/>
      <c r="H94" s="475"/>
      <c r="I94" s="439"/>
      <c r="J94" s="440"/>
      <c r="K94" s="475"/>
      <c r="L94" s="475"/>
      <c r="M94" s="475"/>
      <c r="N94" s="475"/>
      <c r="O94" s="770"/>
      <c r="P94" s="770"/>
      <c r="Q94" s="770"/>
      <c r="R94" s="847">
        <f t="shared" si="35"/>
        <v>0</v>
      </c>
      <c r="S94" s="761">
        <f t="shared" si="36"/>
        <v>0</v>
      </c>
      <c r="T94" s="761">
        <f t="shared" si="37"/>
        <v>0</v>
      </c>
    </row>
    <row r="95" spans="1:20" ht="16" thickBot="1">
      <c r="A95" s="441" t="s">
        <v>1012</v>
      </c>
      <c r="B95" s="444" t="s">
        <v>1013</v>
      </c>
      <c r="C95" s="477">
        <v>6.25E-2</v>
      </c>
      <c r="D95" s="451" t="e">
        <f t="shared" ref="D95:D101" si="42">B95*C95</f>
        <v>#VALUE!</v>
      </c>
      <c r="E95" s="794">
        <v>477.49</v>
      </c>
      <c r="F95" s="338">
        <v>6.9000000000000006E-2</v>
      </c>
      <c r="G95" s="478">
        <f t="shared" ref="G95:G101" si="43">E95*F95</f>
        <v>32.946810000000006</v>
      </c>
      <c r="H95" s="449">
        <f t="shared" ref="H95:H101" si="44">E95+G95</f>
        <v>510.43681000000004</v>
      </c>
      <c r="I95" s="442">
        <v>6.9000000000000006E-2</v>
      </c>
      <c r="J95" s="443">
        <f t="shared" ref="J95:J101" si="45">H95*I95</f>
        <v>35.220139890000006</v>
      </c>
      <c r="K95" s="449">
        <f>H95+J95</f>
        <v>545.65694989000008</v>
      </c>
      <c r="L95" s="449">
        <f t="shared" ref="L95:O103" si="46">K95*5.3%+K95</f>
        <v>574.57676823417012</v>
      </c>
      <c r="M95" s="449">
        <f t="shared" ref="M95:M101" si="47">L95*5.4%+L95</f>
        <v>605.60391371881531</v>
      </c>
      <c r="N95" s="449">
        <f t="shared" ref="N95:N101" si="48">M95*10%+M95</f>
        <v>666.16430509069687</v>
      </c>
      <c r="O95" s="764">
        <f t="shared" ref="O95:O101" si="49">N95*5%+N95</f>
        <v>699.47252034523171</v>
      </c>
      <c r="P95" s="764">
        <f t="shared" ref="P95:P101" si="50">O95+O95*5.3%</f>
        <v>736.54456392352904</v>
      </c>
      <c r="Q95" s="764">
        <f t="shared" ref="Q95:Q101" si="51">P95+P95*5%</f>
        <v>773.37179211970545</v>
      </c>
      <c r="R95" s="847">
        <f t="shared" si="35"/>
        <v>801.9865484281346</v>
      </c>
      <c r="S95" s="761">
        <f t="shared" si="36"/>
        <v>828.45210452626304</v>
      </c>
      <c r="T95" s="761">
        <f t="shared" si="37"/>
        <v>854.96257187110348</v>
      </c>
    </row>
    <row r="96" spans="1:20" ht="16" thickBot="1">
      <c r="A96" s="441" t="s">
        <v>1014</v>
      </c>
      <c r="B96" s="444" t="s">
        <v>1015</v>
      </c>
      <c r="C96" s="477">
        <v>6.25E-2</v>
      </c>
      <c r="D96" s="451" t="e">
        <f t="shared" si="42"/>
        <v>#VALUE!</v>
      </c>
      <c r="E96" s="794">
        <v>559.27</v>
      </c>
      <c r="F96" s="338">
        <v>6.9000000000000006E-2</v>
      </c>
      <c r="G96" s="478">
        <f t="shared" si="43"/>
        <v>38.58963</v>
      </c>
      <c r="H96" s="449">
        <f t="shared" si="44"/>
        <v>597.85962999999992</v>
      </c>
      <c r="I96" s="442">
        <v>6.9000000000000006E-2</v>
      </c>
      <c r="J96" s="443">
        <f t="shared" si="45"/>
        <v>41.252314470000002</v>
      </c>
      <c r="K96" s="449">
        <f>H96+J96</f>
        <v>639.11194446999991</v>
      </c>
      <c r="L96" s="449">
        <f t="shared" si="46"/>
        <v>672.98487752690994</v>
      </c>
      <c r="M96" s="449">
        <f t="shared" si="47"/>
        <v>709.32606091336311</v>
      </c>
      <c r="N96" s="449">
        <f t="shared" si="48"/>
        <v>780.25866700469942</v>
      </c>
      <c r="O96" s="764">
        <f t="shared" si="49"/>
        <v>819.27160035493444</v>
      </c>
      <c r="P96" s="764">
        <f t="shared" si="50"/>
        <v>862.692995173746</v>
      </c>
      <c r="Q96" s="764">
        <f t="shared" si="51"/>
        <v>905.82764493243326</v>
      </c>
      <c r="R96" s="847">
        <f t="shared" si="35"/>
        <v>939.34326779493335</v>
      </c>
      <c r="S96" s="761">
        <f t="shared" si="36"/>
        <v>970.3415956321661</v>
      </c>
      <c r="T96" s="761">
        <f t="shared" si="37"/>
        <v>1001.3925266923954</v>
      </c>
    </row>
    <row r="97" spans="1:20" ht="16" thickBot="1">
      <c r="A97" s="441" t="s">
        <v>1005</v>
      </c>
      <c r="B97" s="444" t="s">
        <v>1016</v>
      </c>
      <c r="C97" s="477">
        <v>6.25E-2</v>
      </c>
      <c r="D97" s="451" t="e">
        <f t="shared" si="42"/>
        <v>#VALUE!</v>
      </c>
      <c r="E97" s="794">
        <v>635.20000000000005</v>
      </c>
      <c r="F97" s="338">
        <v>6.9000000000000006E-2</v>
      </c>
      <c r="G97" s="478">
        <f t="shared" si="43"/>
        <v>43.828800000000008</v>
      </c>
      <c r="H97" s="449">
        <f t="shared" si="44"/>
        <v>679.02880000000005</v>
      </c>
      <c r="I97" s="442">
        <v>6.9000000000000006E-2</v>
      </c>
      <c r="J97" s="443">
        <f t="shared" si="45"/>
        <v>46.852987200000008</v>
      </c>
      <c r="K97" s="449">
        <f>H97+J97</f>
        <v>725.88178720000008</v>
      </c>
      <c r="L97" s="449">
        <f t="shared" si="46"/>
        <v>764.35352192160008</v>
      </c>
      <c r="M97" s="449">
        <f t="shared" si="47"/>
        <v>805.62861210536653</v>
      </c>
      <c r="N97" s="449">
        <f t="shared" si="48"/>
        <v>886.19147331590318</v>
      </c>
      <c r="O97" s="764">
        <f t="shared" si="49"/>
        <v>930.50104698169832</v>
      </c>
      <c r="P97" s="764">
        <f t="shared" si="50"/>
        <v>979.81760247172838</v>
      </c>
      <c r="Q97" s="764">
        <f t="shared" si="51"/>
        <v>1028.8084825953149</v>
      </c>
      <c r="R97" s="847">
        <f t="shared" si="35"/>
        <v>1066.8743964513415</v>
      </c>
      <c r="S97" s="761">
        <f t="shared" si="36"/>
        <v>1102.0812515342357</v>
      </c>
      <c r="T97" s="761">
        <f t="shared" si="37"/>
        <v>1137.3478515833312</v>
      </c>
    </row>
    <row r="98" spans="1:20" ht="16" thickBot="1">
      <c r="A98" s="441" t="s">
        <v>1017</v>
      </c>
      <c r="B98" s="444" t="s">
        <v>1018</v>
      </c>
      <c r="C98" s="477">
        <v>6.25E-2</v>
      </c>
      <c r="D98" s="451" t="e">
        <f t="shared" si="42"/>
        <v>#VALUE!</v>
      </c>
      <c r="E98" s="794">
        <v>722.82</v>
      </c>
      <c r="F98" s="338">
        <v>6.9000000000000006E-2</v>
      </c>
      <c r="G98" s="478">
        <f t="shared" si="43"/>
        <v>49.874580000000009</v>
      </c>
      <c r="H98" s="449">
        <f t="shared" si="44"/>
        <v>772.69458000000009</v>
      </c>
      <c r="I98" s="442">
        <v>6.9000000000000006E-2</v>
      </c>
      <c r="J98" s="443">
        <f t="shared" si="45"/>
        <v>53.315926020000013</v>
      </c>
      <c r="K98" s="449">
        <f>H99+J99</f>
        <v>932.80152147000001</v>
      </c>
      <c r="L98" s="449">
        <f t="shared" si="46"/>
        <v>982.24000210790996</v>
      </c>
      <c r="M98" s="449">
        <f t="shared" si="47"/>
        <v>1035.2809622217371</v>
      </c>
      <c r="N98" s="449">
        <f t="shared" si="48"/>
        <v>1138.8090584439108</v>
      </c>
      <c r="O98" s="764">
        <f t="shared" si="49"/>
        <v>1195.7495113661064</v>
      </c>
      <c r="P98" s="764">
        <f t="shared" si="50"/>
        <v>1259.1242354685101</v>
      </c>
      <c r="Q98" s="764">
        <f t="shared" si="51"/>
        <v>1322.0804472419356</v>
      </c>
      <c r="R98" s="847">
        <f t="shared" si="35"/>
        <v>1370.9974237898873</v>
      </c>
      <c r="S98" s="761">
        <f t="shared" si="36"/>
        <v>1416.2403387749537</v>
      </c>
      <c r="T98" s="761">
        <f t="shared" si="37"/>
        <v>1461.5600296157522</v>
      </c>
    </row>
    <row r="99" spans="1:20" ht="16" thickBot="1">
      <c r="A99" s="441" t="s">
        <v>1019</v>
      </c>
      <c r="B99" s="444" t="s">
        <v>1008</v>
      </c>
      <c r="C99" s="477">
        <v>6.25E-2</v>
      </c>
      <c r="D99" s="451" t="e">
        <f t="shared" si="42"/>
        <v>#VALUE!</v>
      </c>
      <c r="E99" s="794">
        <v>816.27</v>
      </c>
      <c r="F99" s="338">
        <v>6.9000000000000006E-2</v>
      </c>
      <c r="G99" s="478">
        <f t="shared" si="43"/>
        <v>56.322630000000004</v>
      </c>
      <c r="H99" s="449">
        <f t="shared" si="44"/>
        <v>872.59262999999999</v>
      </c>
      <c r="I99" s="442">
        <v>6.9000000000000006E-2</v>
      </c>
      <c r="J99" s="443">
        <f t="shared" si="45"/>
        <v>60.208891470000005</v>
      </c>
      <c r="K99" s="449">
        <f>J99+H99</f>
        <v>932.80152147000001</v>
      </c>
      <c r="L99" s="449">
        <f t="shared" si="46"/>
        <v>982.24000210790996</v>
      </c>
      <c r="M99" s="449">
        <f t="shared" si="47"/>
        <v>1035.2809622217371</v>
      </c>
      <c r="N99" s="449">
        <f t="shared" si="48"/>
        <v>1138.8090584439108</v>
      </c>
      <c r="O99" s="764">
        <f t="shared" si="49"/>
        <v>1195.7495113661064</v>
      </c>
      <c r="P99" s="764">
        <f t="shared" si="50"/>
        <v>1259.1242354685101</v>
      </c>
      <c r="Q99" s="764">
        <f t="shared" si="51"/>
        <v>1322.0804472419356</v>
      </c>
      <c r="R99" s="847">
        <f t="shared" si="35"/>
        <v>1370.9974237898873</v>
      </c>
      <c r="S99" s="761">
        <f t="shared" si="36"/>
        <v>1416.2403387749537</v>
      </c>
      <c r="T99" s="761">
        <f t="shared" si="37"/>
        <v>1461.5600296157522</v>
      </c>
    </row>
    <row r="100" spans="1:20" ht="16" thickBot="1">
      <c r="A100" s="441" t="s">
        <v>1020</v>
      </c>
      <c r="B100" s="444" t="s">
        <v>1010</v>
      </c>
      <c r="C100" s="477">
        <v>6.25E-2</v>
      </c>
      <c r="D100" s="451" t="e">
        <f t="shared" si="42"/>
        <v>#VALUE!</v>
      </c>
      <c r="E100" s="794">
        <v>887.82</v>
      </c>
      <c r="F100" s="338">
        <v>6.9000000000000006E-2</v>
      </c>
      <c r="G100" s="478">
        <f t="shared" si="43"/>
        <v>61.259580000000007</v>
      </c>
      <c r="H100" s="449">
        <f t="shared" si="44"/>
        <v>949.07958000000008</v>
      </c>
      <c r="I100" s="442">
        <v>6.9000000000000006E-2</v>
      </c>
      <c r="J100" s="443">
        <f t="shared" si="45"/>
        <v>65.486491020000017</v>
      </c>
      <c r="K100" s="449">
        <f>H100+J100</f>
        <v>1014.5660710200001</v>
      </c>
      <c r="L100" s="449">
        <f t="shared" si="46"/>
        <v>1068.3380727840602</v>
      </c>
      <c r="M100" s="449">
        <f t="shared" si="47"/>
        <v>1126.0283287143993</v>
      </c>
      <c r="N100" s="449">
        <f t="shared" si="48"/>
        <v>1238.6311615858392</v>
      </c>
      <c r="O100" s="764">
        <f t="shared" si="49"/>
        <v>1300.5627196651312</v>
      </c>
      <c r="P100" s="764">
        <f t="shared" si="50"/>
        <v>1369.4925438073833</v>
      </c>
      <c r="Q100" s="764">
        <f t="shared" si="51"/>
        <v>1437.9671709977524</v>
      </c>
      <c r="R100" s="847">
        <f t="shared" si="35"/>
        <v>1491.1719563246693</v>
      </c>
      <c r="S100" s="761">
        <f t="shared" si="36"/>
        <v>1540.3806308833834</v>
      </c>
      <c r="T100" s="761">
        <f t="shared" si="37"/>
        <v>1589.6728110716517</v>
      </c>
    </row>
    <row r="101" spans="1:20" ht="16" thickBot="1">
      <c r="A101" s="494" t="s">
        <v>1021</v>
      </c>
      <c r="B101" s="1077" t="s">
        <v>991</v>
      </c>
      <c r="C101" s="477">
        <v>6.25E-2</v>
      </c>
      <c r="D101" s="495" t="e">
        <f t="shared" si="42"/>
        <v>#VALUE!</v>
      </c>
      <c r="E101" s="1075">
        <v>252.62</v>
      </c>
      <c r="F101" s="338">
        <v>6.9000000000000006E-2</v>
      </c>
      <c r="G101" s="478">
        <f t="shared" si="43"/>
        <v>17.430780000000002</v>
      </c>
      <c r="H101" s="1075">
        <f t="shared" si="44"/>
        <v>270.05078000000003</v>
      </c>
      <c r="I101" s="442">
        <v>6.9000000000000006E-2</v>
      </c>
      <c r="J101" s="496">
        <f t="shared" si="45"/>
        <v>18.633503820000005</v>
      </c>
      <c r="K101" s="1075">
        <f>H101+J101</f>
        <v>288.68428382000002</v>
      </c>
      <c r="L101" s="1075">
        <f t="shared" si="46"/>
        <v>303.98455086246003</v>
      </c>
      <c r="M101" s="1075">
        <f t="shared" si="47"/>
        <v>320.39971660903285</v>
      </c>
      <c r="N101" s="1075">
        <f t="shared" si="48"/>
        <v>352.43968826993614</v>
      </c>
      <c r="O101" s="1083">
        <f t="shared" si="49"/>
        <v>370.06167268343296</v>
      </c>
      <c r="P101" s="1083">
        <f t="shared" si="50"/>
        <v>389.67494133565492</v>
      </c>
      <c r="Q101" s="1083">
        <f t="shared" si="51"/>
        <v>409.15868840243769</v>
      </c>
      <c r="R101" s="1049">
        <f t="shared" si="35"/>
        <v>424.29755987332788</v>
      </c>
      <c r="S101" s="761">
        <f t="shared" si="36"/>
        <v>438.29937934914773</v>
      </c>
      <c r="T101" s="761">
        <f t="shared" si="37"/>
        <v>452.32495948832047</v>
      </c>
    </row>
    <row r="102" spans="1:20" ht="16" thickBot="1">
      <c r="A102" s="494" t="s">
        <v>1022</v>
      </c>
      <c r="B102" s="1078"/>
      <c r="C102" s="492"/>
      <c r="D102" s="497"/>
      <c r="E102" s="1088"/>
      <c r="H102" s="1088"/>
      <c r="I102" s="498"/>
      <c r="J102" s="499"/>
      <c r="K102" s="1088"/>
      <c r="L102" s="1088">
        <f t="shared" si="46"/>
        <v>0</v>
      </c>
      <c r="M102" s="1088">
        <f t="shared" si="46"/>
        <v>0</v>
      </c>
      <c r="N102" s="1088">
        <f t="shared" si="46"/>
        <v>0</v>
      </c>
      <c r="O102" s="1067">
        <f t="shared" si="46"/>
        <v>0</v>
      </c>
      <c r="P102" s="1067"/>
      <c r="Q102" s="1067"/>
      <c r="R102" s="1045"/>
      <c r="S102" s="761"/>
      <c r="T102" s="761"/>
    </row>
    <row r="103" spans="1:20" ht="16" thickBot="1">
      <c r="A103" s="500" t="s">
        <v>1023</v>
      </c>
      <c r="B103" s="1062"/>
      <c r="C103" s="501"/>
      <c r="D103" s="502"/>
      <c r="E103" s="1076"/>
      <c r="H103" s="1076"/>
      <c r="I103" s="498"/>
      <c r="J103" s="499"/>
      <c r="K103" s="1076"/>
      <c r="L103" s="1076">
        <f t="shared" si="46"/>
        <v>0</v>
      </c>
      <c r="M103" s="1076">
        <f t="shared" si="46"/>
        <v>0</v>
      </c>
      <c r="N103" s="1076">
        <f t="shared" si="46"/>
        <v>0</v>
      </c>
      <c r="O103" s="1068">
        <f t="shared" si="46"/>
        <v>0</v>
      </c>
      <c r="P103" s="1068"/>
      <c r="Q103" s="1068"/>
      <c r="R103" s="1046"/>
      <c r="S103" s="761"/>
      <c r="T103" s="761"/>
    </row>
    <row r="104" spans="1:20" ht="16" thickBot="1">
      <c r="A104" s="1097" t="s">
        <v>1024</v>
      </c>
      <c r="B104" s="1098"/>
      <c r="C104" s="501"/>
      <c r="D104" s="502"/>
      <c r="E104" s="496"/>
      <c r="H104" s="475"/>
      <c r="I104" s="439"/>
      <c r="J104" s="440"/>
      <c r="K104" s="475"/>
      <c r="L104" s="475"/>
      <c r="M104" s="475"/>
      <c r="N104" s="475"/>
      <c r="O104" s="770"/>
      <c r="P104" s="770"/>
      <c r="Q104" s="770"/>
      <c r="R104" s="847"/>
      <c r="S104" s="761"/>
      <c r="T104" s="761"/>
    </row>
    <row r="105" spans="1:20" ht="16" thickBot="1">
      <c r="A105" s="1097" t="s">
        <v>1025</v>
      </c>
      <c r="B105" s="1098"/>
      <c r="C105" s="493"/>
      <c r="D105" s="474"/>
      <c r="E105" s="795"/>
      <c r="H105" s="475"/>
      <c r="I105" s="439"/>
      <c r="J105" s="440"/>
      <c r="K105" s="475"/>
      <c r="L105" s="475"/>
      <c r="M105" s="475"/>
      <c r="N105" s="475"/>
      <c r="O105" s="770"/>
      <c r="P105" s="770"/>
      <c r="Q105" s="770"/>
      <c r="R105" s="847"/>
      <c r="S105" s="761"/>
      <c r="T105" s="761"/>
    </row>
    <row r="106" spans="1:20" ht="16" thickBot="1">
      <c r="A106" s="441" t="s">
        <v>1026</v>
      </c>
      <c r="B106" s="444" t="s">
        <v>1013</v>
      </c>
      <c r="C106" s="477">
        <v>6.25E-2</v>
      </c>
      <c r="D106" s="451" t="e">
        <f t="shared" ref="D106:D111" si="52">B106*C106</f>
        <v>#VALUE!</v>
      </c>
      <c r="E106" s="794">
        <v>477.49</v>
      </c>
      <c r="F106" s="338">
        <v>6.9000000000000006E-2</v>
      </c>
      <c r="G106" s="478">
        <f t="shared" ref="G106:G111" si="53">E106*F106</f>
        <v>32.946810000000006</v>
      </c>
      <c r="H106" s="490">
        <f t="shared" ref="H106:H111" si="54">E106+G106</f>
        <v>510.43681000000004</v>
      </c>
      <c r="I106" s="442">
        <v>6.9000000000000006E-2</v>
      </c>
      <c r="J106" s="349">
        <f t="shared" ref="J106:J111" si="55">H106*I106</f>
        <v>35.220139890000006</v>
      </c>
      <c r="K106" s="490">
        <f t="shared" ref="K106:K111" si="56">H106+J106</f>
        <v>545.65694989000008</v>
      </c>
      <c r="L106" s="490">
        <f t="shared" ref="L106:L120" si="57">K106*5.3%+K106</f>
        <v>574.57676823417012</v>
      </c>
      <c r="M106" s="490">
        <f t="shared" ref="M106:M111" si="58">L106*5.4%+L106</f>
        <v>605.60391371881531</v>
      </c>
      <c r="N106" s="490">
        <f t="shared" ref="N106:N111" si="59">M106*10%+M106</f>
        <v>666.16430509069687</v>
      </c>
      <c r="O106" s="637">
        <f t="shared" ref="O106:O111" si="60">N106*5%+N106</f>
        <v>699.47252034523171</v>
      </c>
      <c r="P106" s="637">
        <f t="shared" ref="P106:P119" si="61">O106+O106*5.3%</f>
        <v>736.54456392352904</v>
      </c>
      <c r="Q106" s="637">
        <f t="shared" ref="Q106:Q119" si="62">P106+P106*5%</f>
        <v>773.37179211970545</v>
      </c>
      <c r="R106" s="843">
        <f t="shared" ref="R106:R119" si="63">Q106+Q106*3.7%</f>
        <v>801.9865484281346</v>
      </c>
      <c r="S106" s="761">
        <f t="shared" ref="S106:S119" si="64">R106+R106*3.3%</f>
        <v>828.45210452626304</v>
      </c>
      <c r="T106" s="761">
        <f t="shared" ref="T106:T119" si="65">S106+S106*3.2%</f>
        <v>854.96257187110348</v>
      </c>
    </row>
    <row r="107" spans="1:20" ht="16" thickBot="1">
      <c r="A107" s="441" t="s">
        <v>1014</v>
      </c>
      <c r="B107" s="444" t="s">
        <v>1015</v>
      </c>
      <c r="C107" s="477">
        <v>6.25E-2</v>
      </c>
      <c r="D107" s="451" t="e">
        <f t="shared" si="52"/>
        <v>#VALUE!</v>
      </c>
      <c r="E107" s="794">
        <v>559.27</v>
      </c>
      <c r="F107" s="338">
        <v>6.9000000000000006E-2</v>
      </c>
      <c r="G107" s="478">
        <f t="shared" si="53"/>
        <v>38.58963</v>
      </c>
      <c r="H107" s="449">
        <f t="shared" si="54"/>
        <v>597.85962999999992</v>
      </c>
      <c r="I107" s="442">
        <v>6.9000000000000006E-2</v>
      </c>
      <c r="J107" s="349">
        <f t="shared" si="55"/>
        <v>41.252314470000002</v>
      </c>
      <c r="K107" s="449">
        <f t="shared" si="56"/>
        <v>639.11194446999991</v>
      </c>
      <c r="L107" s="490">
        <f t="shared" si="57"/>
        <v>672.98487752690994</v>
      </c>
      <c r="M107" s="490">
        <f t="shared" si="58"/>
        <v>709.32606091336311</v>
      </c>
      <c r="N107" s="490">
        <f t="shared" si="59"/>
        <v>780.25866700469942</v>
      </c>
      <c r="O107" s="637">
        <f t="shared" si="60"/>
        <v>819.27160035493444</v>
      </c>
      <c r="P107" s="637">
        <f t="shared" si="61"/>
        <v>862.692995173746</v>
      </c>
      <c r="Q107" s="637">
        <f t="shared" si="62"/>
        <v>905.82764493243326</v>
      </c>
      <c r="R107" s="843">
        <f t="shared" si="63"/>
        <v>939.34326779493335</v>
      </c>
      <c r="S107" s="761">
        <f t="shared" si="64"/>
        <v>970.3415956321661</v>
      </c>
      <c r="T107" s="761">
        <f t="shared" si="65"/>
        <v>1001.3925266923954</v>
      </c>
    </row>
    <row r="108" spans="1:20" ht="16" thickBot="1">
      <c r="A108" s="441" t="s">
        <v>1005</v>
      </c>
      <c r="B108" s="444" t="s">
        <v>1016</v>
      </c>
      <c r="C108" s="477">
        <v>6.25E-2</v>
      </c>
      <c r="D108" s="451" t="e">
        <f t="shared" si="52"/>
        <v>#VALUE!</v>
      </c>
      <c r="E108" s="794">
        <v>635.20000000000005</v>
      </c>
      <c r="F108" s="338">
        <v>6.9000000000000006E-2</v>
      </c>
      <c r="G108" s="478">
        <f t="shared" si="53"/>
        <v>43.828800000000008</v>
      </c>
      <c r="H108" s="449">
        <f t="shared" si="54"/>
        <v>679.02880000000005</v>
      </c>
      <c r="I108" s="442">
        <v>6.9000000000000006E-2</v>
      </c>
      <c r="J108" s="349">
        <f t="shared" si="55"/>
        <v>46.852987200000008</v>
      </c>
      <c r="K108" s="449">
        <f t="shared" si="56"/>
        <v>725.88178720000008</v>
      </c>
      <c r="L108" s="490">
        <f t="shared" si="57"/>
        <v>764.35352192160008</v>
      </c>
      <c r="M108" s="490">
        <f t="shared" si="58"/>
        <v>805.62861210536653</v>
      </c>
      <c r="N108" s="490">
        <f t="shared" si="59"/>
        <v>886.19147331590318</v>
      </c>
      <c r="O108" s="637">
        <f t="shared" si="60"/>
        <v>930.50104698169832</v>
      </c>
      <c r="P108" s="637">
        <f t="shared" si="61"/>
        <v>979.81760247172838</v>
      </c>
      <c r="Q108" s="637">
        <f t="shared" si="62"/>
        <v>1028.8084825953149</v>
      </c>
      <c r="R108" s="843">
        <f t="shared" si="63"/>
        <v>1066.8743964513415</v>
      </c>
      <c r="S108" s="761">
        <f t="shared" si="64"/>
        <v>1102.0812515342357</v>
      </c>
      <c r="T108" s="761">
        <f t="shared" si="65"/>
        <v>1137.3478515833312</v>
      </c>
    </row>
    <row r="109" spans="1:20" ht="16" thickBot="1">
      <c r="A109" s="441" t="s">
        <v>1017</v>
      </c>
      <c r="B109" s="444" t="s">
        <v>1018</v>
      </c>
      <c r="C109" s="477">
        <v>6.25E-2</v>
      </c>
      <c r="D109" s="451" t="e">
        <f t="shared" si="52"/>
        <v>#VALUE!</v>
      </c>
      <c r="E109" s="794">
        <v>722.82</v>
      </c>
      <c r="F109" s="338">
        <v>6.9000000000000006E-2</v>
      </c>
      <c r="G109" s="478">
        <f t="shared" si="53"/>
        <v>49.874580000000009</v>
      </c>
      <c r="H109" s="449">
        <f t="shared" si="54"/>
        <v>772.69458000000009</v>
      </c>
      <c r="I109" s="442">
        <v>6.9000000000000006E-2</v>
      </c>
      <c r="J109" s="349">
        <f t="shared" si="55"/>
        <v>53.315926020000013</v>
      </c>
      <c r="K109" s="449">
        <f t="shared" si="56"/>
        <v>826.01050602000009</v>
      </c>
      <c r="L109" s="490">
        <f t="shared" si="57"/>
        <v>869.78906283906008</v>
      </c>
      <c r="M109" s="490">
        <f t="shared" si="58"/>
        <v>916.75767223236937</v>
      </c>
      <c r="N109" s="490">
        <f t="shared" si="59"/>
        <v>1008.4334394556063</v>
      </c>
      <c r="O109" s="637">
        <f t="shared" si="60"/>
        <v>1058.8551114283866</v>
      </c>
      <c r="P109" s="637">
        <f t="shared" si="61"/>
        <v>1114.974432334091</v>
      </c>
      <c r="Q109" s="637">
        <f t="shared" si="62"/>
        <v>1170.7231539507957</v>
      </c>
      <c r="R109" s="843">
        <f t="shared" si="63"/>
        <v>1214.0399106469752</v>
      </c>
      <c r="S109" s="761">
        <f t="shared" si="64"/>
        <v>1254.1032276983253</v>
      </c>
      <c r="T109" s="761">
        <f t="shared" si="65"/>
        <v>1294.2345309846717</v>
      </c>
    </row>
    <row r="110" spans="1:20" ht="16" thickBot="1">
      <c r="A110" s="441" t="s">
        <v>1019</v>
      </c>
      <c r="B110" s="444" t="s">
        <v>1008</v>
      </c>
      <c r="C110" s="477">
        <v>6.25E-2</v>
      </c>
      <c r="D110" s="451" t="e">
        <f t="shared" si="52"/>
        <v>#VALUE!</v>
      </c>
      <c r="E110" s="794">
        <v>816.27</v>
      </c>
      <c r="F110" s="338">
        <v>6.9000000000000006E-2</v>
      </c>
      <c r="G110" s="478">
        <f t="shared" si="53"/>
        <v>56.322630000000004</v>
      </c>
      <c r="H110" s="449">
        <f t="shared" si="54"/>
        <v>872.59262999999999</v>
      </c>
      <c r="I110" s="442">
        <v>6.9000000000000006E-2</v>
      </c>
      <c r="J110" s="349">
        <f t="shared" si="55"/>
        <v>60.208891470000005</v>
      </c>
      <c r="K110" s="449">
        <f t="shared" si="56"/>
        <v>932.80152147000001</v>
      </c>
      <c r="L110" s="490">
        <f t="shared" si="57"/>
        <v>982.24000210790996</v>
      </c>
      <c r="M110" s="490">
        <f t="shared" si="58"/>
        <v>1035.2809622217371</v>
      </c>
      <c r="N110" s="490">
        <f t="shared" si="59"/>
        <v>1138.8090584439108</v>
      </c>
      <c r="O110" s="637">
        <f t="shared" si="60"/>
        <v>1195.7495113661064</v>
      </c>
      <c r="P110" s="637">
        <f t="shared" si="61"/>
        <v>1259.1242354685101</v>
      </c>
      <c r="Q110" s="637">
        <f t="shared" si="62"/>
        <v>1322.0804472419356</v>
      </c>
      <c r="R110" s="843">
        <f t="shared" si="63"/>
        <v>1370.9974237898873</v>
      </c>
      <c r="S110" s="761">
        <f t="shared" si="64"/>
        <v>1416.2403387749537</v>
      </c>
      <c r="T110" s="761">
        <f t="shared" si="65"/>
        <v>1461.5600296157522</v>
      </c>
    </row>
    <row r="111" spans="1:20" ht="16" thickBot="1">
      <c r="A111" s="441" t="s">
        <v>1027</v>
      </c>
      <c r="B111" s="444" t="s">
        <v>1028</v>
      </c>
      <c r="C111" s="477">
        <v>6.25E-2</v>
      </c>
      <c r="D111" s="451" t="e">
        <f t="shared" si="52"/>
        <v>#VALUE!</v>
      </c>
      <c r="E111" s="794">
        <v>898.05</v>
      </c>
      <c r="F111" s="338">
        <v>6.9000000000000006E-2</v>
      </c>
      <c r="G111" s="478">
        <f t="shared" si="53"/>
        <v>61.965450000000004</v>
      </c>
      <c r="H111" s="449">
        <f t="shared" si="54"/>
        <v>960.01544999999999</v>
      </c>
      <c r="I111" s="442">
        <v>6.9000000000000006E-2</v>
      </c>
      <c r="J111" s="349">
        <f t="shared" si="55"/>
        <v>66.241066050000001</v>
      </c>
      <c r="K111" s="449">
        <f t="shared" si="56"/>
        <v>1026.2565160500001</v>
      </c>
      <c r="L111" s="490">
        <f t="shared" si="57"/>
        <v>1080.6481114006501</v>
      </c>
      <c r="M111" s="490">
        <f t="shared" si="58"/>
        <v>1139.0031094162853</v>
      </c>
      <c r="N111" s="490">
        <f t="shared" si="59"/>
        <v>1252.9034203579138</v>
      </c>
      <c r="O111" s="637">
        <f t="shared" si="60"/>
        <v>1315.5485913758096</v>
      </c>
      <c r="P111" s="637">
        <f t="shared" si="61"/>
        <v>1385.2726667187276</v>
      </c>
      <c r="Q111" s="637">
        <f t="shared" si="62"/>
        <v>1454.536300054664</v>
      </c>
      <c r="R111" s="843">
        <f t="shared" si="63"/>
        <v>1508.3541431566866</v>
      </c>
      <c r="S111" s="761">
        <f t="shared" si="64"/>
        <v>1558.1298298808572</v>
      </c>
      <c r="T111" s="761">
        <f t="shared" si="65"/>
        <v>1607.9899844370445</v>
      </c>
    </row>
    <row r="112" spans="1:20" ht="16" thickBot="1">
      <c r="A112" s="1097" t="s">
        <v>1029</v>
      </c>
      <c r="B112" s="1098"/>
      <c r="C112" s="480"/>
      <c r="D112" s="481"/>
      <c r="E112" s="795"/>
      <c r="H112" s="475"/>
      <c r="K112" s="475"/>
      <c r="L112" s="475"/>
      <c r="M112" s="475"/>
      <c r="N112" s="475"/>
      <c r="O112" s="770"/>
      <c r="P112" s="770">
        <f t="shared" si="61"/>
        <v>0</v>
      </c>
      <c r="Q112" s="770">
        <f t="shared" si="62"/>
        <v>0</v>
      </c>
      <c r="R112" s="843">
        <f t="shared" si="63"/>
        <v>0</v>
      </c>
      <c r="S112" s="761">
        <f t="shared" si="64"/>
        <v>0</v>
      </c>
      <c r="T112" s="761">
        <f t="shared" si="65"/>
        <v>0</v>
      </c>
    </row>
    <row r="113" spans="1:20" ht="16" thickBot="1">
      <c r="A113" s="441" t="s">
        <v>1030</v>
      </c>
      <c r="B113" s="444" t="s">
        <v>1013</v>
      </c>
      <c r="C113" s="477">
        <v>6.25E-2</v>
      </c>
      <c r="D113" s="451" t="e">
        <f t="shared" ref="D113:D119" si="66">B113*C113</f>
        <v>#VALUE!</v>
      </c>
      <c r="E113" s="794">
        <v>477.49</v>
      </c>
      <c r="F113" s="338">
        <v>6.9000000000000006E-2</v>
      </c>
      <c r="G113" s="478">
        <f>E113*F113</f>
        <v>32.946810000000006</v>
      </c>
      <c r="H113" s="449">
        <f>E113+G113</f>
        <v>510.43681000000004</v>
      </c>
      <c r="I113" s="442">
        <v>6.9000000000000006E-2</v>
      </c>
      <c r="J113" s="349">
        <f t="shared" ref="J113:J119" si="67">H113*I113</f>
        <v>35.220139890000006</v>
      </c>
      <c r="K113" s="449">
        <f t="shared" ref="K113:K119" si="68">H113+J113</f>
        <v>545.65694989000008</v>
      </c>
      <c r="L113" s="449">
        <f t="shared" si="57"/>
        <v>574.57676823417012</v>
      </c>
      <c r="M113" s="449">
        <f t="shared" ref="M113:M119" si="69">L113*5.4%+L113</f>
        <v>605.60391371881531</v>
      </c>
      <c r="N113" s="449">
        <f t="shared" ref="N113:N119" si="70">M113*10%+M113</f>
        <v>666.16430509069687</v>
      </c>
      <c r="O113" s="764">
        <f t="shared" ref="O113:O119" si="71">N113*5%+N113</f>
        <v>699.47252034523171</v>
      </c>
      <c r="P113" s="764">
        <f t="shared" si="61"/>
        <v>736.54456392352904</v>
      </c>
      <c r="Q113" s="764">
        <f t="shared" si="62"/>
        <v>773.37179211970545</v>
      </c>
      <c r="R113" s="843">
        <f t="shared" si="63"/>
        <v>801.9865484281346</v>
      </c>
      <c r="S113" s="761">
        <f t="shared" si="64"/>
        <v>828.45210452626304</v>
      </c>
      <c r="T113" s="761">
        <f t="shared" si="65"/>
        <v>854.96257187110348</v>
      </c>
    </row>
    <row r="114" spans="1:20" ht="16" thickBot="1">
      <c r="A114" s="441" t="s">
        <v>1031</v>
      </c>
      <c r="B114" s="444" t="s">
        <v>1015</v>
      </c>
      <c r="C114" s="477">
        <v>6.25E-2</v>
      </c>
      <c r="D114" s="451" t="e">
        <f t="shared" si="66"/>
        <v>#VALUE!</v>
      </c>
      <c r="E114" s="794">
        <v>523.16</v>
      </c>
      <c r="F114" s="338">
        <v>6.9000000000000006E-2</v>
      </c>
      <c r="G114" s="478">
        <f>E114*F114</f>
        <v>36.098039999999997</v>
      </c>
      <c r="H114" s="449">
        <f>E114+G114</f>
        <v>559.25803999999994</v>
      </c>
      <c r="I114" s="442">
        <v>6.9000000000000006E-2</v>
      </c>
      <c r="J114" s="349">
        <f t="shared" si="67"/>
        <v>38.588804760000002</v>
      </c>
      <c r="K114" s="449">
        <f t="shared" si="68"/>
        <v>597.84684475999995</v>
      </c>
      <c r="L114" s="449">
        <f t="shared" si="57"/>
        <v>629.53272753227998</v>
      </c>
      <c r="M114" s="449">
        <f t="shared" si="69"/>
        <v>663.5274948190231</v>
      </c>
      <c r="N114" s="449">
        <f t="shared" si="70"/>
        <v>729.88024430092537</v>
      </c>
      <c r="O114" s="764">
        <f t="shared" si="71"/>
        <v>766.37425651597164</v>
      </c>
      <c r="P114" s="764">
        <f t="shared" si="61"/>
        <v>806.99209211131813</v>
      </c>
      <c r="Q114" s="764">
        <f t="shared" si="62"/>
        <v>847.34169671688403</v>
      </c>
      <c r="R114" s="843">
        <f t="shared" si="63"/>
        <v>878.69333949540874</v>
      </c>
      <c r="S114" s="761">
        <f t="shared" si="64"/>
        <v>907.69021969875723</v>
      </c>
      <c r="T114" s="761">
        <f t="shared" si="65"/>
        <v>936.73630672911747</v>
      </c>
    </row>
    <row r="115" spans="1:20" ht="16" thickBot="1">
      <c r="A115" s="441" t="s">
        <v>1032</v>
      </c>
      <c r="B115" s="444" t="s">
        <v>1016</v>
      </c>
      <c r="C115" s="477">
        <v>6.25E-2</v>
      </c>
      <c r="D115" s="451" t="e">
        <f t="shared" si="66"/>
        <v>#VALUE!</v>
      </c>
      <c r="E115" s="794">
        <v>635.20000000000005</v>
      </c>
      <c r="F115" s="338">
        <v>6.9000000000000006E-2</v>
      </c>
      <c r="G115" s="478">
        <f>E115*F115</f>
        <v>43.828800000000008</v>
      </c>
      <c r="H115" s="449">
        <f>E115+G115</f>
        <v>679.02880000000005</v>
      </c>
      <c r="I115" s="442">
        <v>6.9000000000000006E-2</v>
      </c>
      <c r="J115" s="349">
        <f t="shared" si="67"/>
        <v>46.852987200000008</v>
      </c>
      <c r="K115" s="449">
        <f t="shared" si="68"/>
        <v>725.88178720000008</v>
      </c>
      <c r="L115" s="449">
        <f t="shared" si="57"/>
        <v>764.35352192160008</v>
      </c>
      <c r="M115" s="449">
        <f t="shared" si="69"/>
        <v>805.62861210536653</v>
      </c>
      <c r="N115" s="449">
        <f t="shared" si="70"/>
        <v>886.19147331590318</v>
      </c>
      <c r="O115" s="764">
        <f t="shared" si="71"/>
        <v>930.50104698169832</v>
      </c>
      <c r="P115" s="764">
        <f t="shared" si="61"/>
        <v>979.81760247172838</v>
      </c>
      <c r="Q115" s="764">
        <f t="shared" si="62"/>
        <v>1028.8084825953149</v>
      </c>
      <c r="R115" s="843">
        <f t="shared" si="63"/>
        <v>1066.8743964513415</v>
      </c>
      <c r="S115" s="761">
        <f t="shared" si="64"/>
        <v>1102.0812515342357</v>
      </c>
      <c r="T115" s="761">
        <f t="shared" si="65"/>
        <v>1137.3478515833312</v>
      </c>
    </row>
    <row r="116" spans="1:20" ht="16" thickBot="1">
      <c r="A116" s="441" t="s">
        <v>1033</v>
      </c>
      <c r="B116" s="444" t="s">
        <v>1018</v>
      </c>
      <c r="C116" s="477">
        <v>6.25E-2</v>
      </c>
      <c r="D116" s="451" t="e">
        <f t="shared" si="66"/>
        <v>#VALUE!</v>
      </c>
      <c r="E116" s="794">
        <v>722.82</v>
      </c>
      <c r="F116" s="338">
        <v>6.9000000000000006E-2</v>
      </c>
      <c r="G116" s="478">
        <f>E116*F116</f>
        <v>49.874580000000009</v>
      </c>
      <c r="H116" s="449">
        <f>E116+G116</f>
        <v>772.69458000000009</v>
      </c>
      <c r="I116" s="442">
        <v>6.9000000000000006E-2</v>
      </c>
      <c r="J116" s="349">
        <f t="shared" si="67"/>
        <v>53.315926020000013</v>
      </c>
      <c r="K116" s="449">
        <f t="shared" si="68"/>
        <v>826.01050602000009</v>
      </c>
      <c r="L116" s="449">
        <f t="shared" si="57"/>
        <v>869.78906283906008</v>
      </c>
      <c r="M116" s="449">
        <f t="shared" si="69"/>
        <v>916.75767223236937</v>
      </c>
      <c r="N116" s="449">
        <f t="shared" si="70"/>
        <v>1008.4334394556063</v>
      </c>
      <c r="O116" s="764">
        <f t="shared" si="71"/>
        <v>1058.8551114283866</v>
      </c>
      <c r="P116" s="764">
        <f t="shared" si="61"/>
        <v>1114.974432334091</v>
      </c>
      <c r="Q116" s="764">
        <f t="shared" si="62"/>
        <v>1170.7231539507957</v>
      </c>
      <c r="R116" s="843">
        <f t="shared" si="63"/>
        <v>1214.0399106469752</v>
      </c>
      <c r="S116" s="761">
        <f t="shared" si="64"/>
        <v>1254.1032276983253</v>
      </c>
      <c r="T116" s="761">
        <f t="shared" si="65"/>
        <v>1294.2345309846717</v>
      </c>
    </row>
    <row r="117" spans="1:20" ht="16" thickBot="1">
      <c r="A117" s="441" t="s">
        <v>1034</v>
      </c>
      <c r="B117" s="444" t="s">
        <v>1035</v>
      </c>
      <c r="C117" s="477">
        <v>6.25E-2</v>
      </c>
      <c r="D117" s="451" t="e">
        <f t="shared" si="66"/>
        <v>#VALUE!</v>
      </c>
      <c r="E117" s="794">
        <v>748.55</v>
      </c>
      <c r="F117" s="338">
        <v>6.9000000000000006E-2</v>
      </c>
      <c r="G117" s="478"/>
      <c r="H117" s="449">
        <v>748.55</v>
      </c>
      <c r="I117" s="442">
        <v>6.9000000000000006E-2</v>
      </c>
      <c r="J117" s="349">
        <f t="shared" si="67"/>
        <v>51.649950000000004</v>
      </c>
      <c r="K117" s="449">
        <f t="shared" si="68"/>
        <v>800.19994999999994</v>
      </c>
      <c r="L117" s="449">
        <f t="shared" si="57"/>
        <v>842.61054734999993</v>
      </c>
      <c r="M117" s="449">
        <f t="shared" si="69"/>
        <v>888.11151690689996</v>
      </c>
      <c r="N117" s="449">
        <f t="shared" si="70"/>
        <v>976.92266859759002</v>
      </c>
      <c r="O117" s="764">
        <f t="shared" si="71"/>
        <v>1025.7688020274695</v>
      </c>
      <c r="P117" s="764">
        <f t="shared" si="61"/>
        <v>1080.1345485349254</v>
      </c>
      <c r="Q117" s="764">
        <f t="shared" si="62"/>
        <v>1134.1412759616717</v>
      </c>
      <c r="R117" s="843">
        <f t="shared" si="63"/>
        <v>1176.1045031722535</v>
      </c>
      <c r="S117" s="761">
        <f t="shared" si="64"/>
        <v>1214.9159517769378</v>
      </c>
      <c r="T117" s="761">
        <f t="shared" si="65"/>
        <v>1253.7932622337999</v>
      </c>
    </row>
    <row r="118" spans="1:20" ht="16" thickBot="1">
      <c r="A118" s="441" t="s">
        <v>1036</v>
      </c>
      <c r="B118" s="444" t="s">
        <v>1010</v>
      </c>
      <c r="C118" s="477">
        <v>6.25E-2</v>
      </c>
      <c r="D118" s="451" t="e">
        <f t="shared" si="66"/>
        <v>#VALUE!</v>
      </c>
      <c r="E118" s="794">
        <v>887.82</v>
      </c>
      <c r="F118" s="338">
        <v>6.9000000000000006E-2</v>
      </c>
      <c r="G118" s="478">
        <f>E118*F118</f>
        <v>61.259580000000007</v>
      </c>
      <c r="H118" s="449">
        <f>E118+G118</f>
        <v>949.07958000000008</v>
      </c>
      <c r="I118" s="442">
        <v>6.9000000000000006E-2</v>
      </c>
      <c r="J118" s="349">
        <f t="shared" si="67"/>
        <v>65.486491020000017</v>
      </c>
      <c r="K118" s="449">
        <f t="shared" si="68"/>
        <v>1014.5660710200001</v>
      </c>
      <c r="L118" s="449">
        <f t="shared" si="57"/>
        <v>1068.3380727840602</v>
      </c>
      <c r="M118" s="449">
        <f t="shared" si="69"/>
        <v>1126.0283287143993</v>
      </c>
      <c r="N118" s="449">
        <f t="shared" si="70"/>
        <v>1238.6311615858392</v>
      </c>
      <c r="O118" s="764">
        <f t="shared" si="71"/>
        <v>1300.5627196651312</v>
      </c>
      <c r="P118" s="764">
        <f t="shared" si="61"/>
        <v>1369.4925438073833</v>
      </c>
      <c r="Q118" s="764">
        <f t="shared" si="62"/>
        <v>1437.9671709977524</v>
      </c>
      <c r="R118" s="847">
        <f t="shared" si="63"/>
        <v>1491.1719563246693</v>
      </c>
      <c r="S118" s="761">
        <f t="shared" si="64"/>
        <v>1540.3806308833834</v>
      </c>
      <c r="T118" s="761">
        <f t="shared" si="65"/>
        <v>1589.6728110716517</v>
      </c>
    </row>
    <row r="119" spans="1:20" ht="16" thickBot="1">
      <c r="A119" s="494" t="s">
        <v>1037</v>
      </c>
      <c r="B119" s="1077" t="s">
        <v>991</v>
      </c>
      <c r="C119" s="477">
        <v>6.25E-2</v>
      </c>
      <c r="D119" s="495" t="e">
        <f t="shared" si="66"/>
        <v>#VALUE!</v>
      </c>
      <c r="E119" s="1075">
        <v>252.62</v>
      </c>
      <c r="F119" s="338">
        <v>6.9000000000000006E-2</v>
      </c>
      <c r="G119" s="503">
        <f>E119*F119</f>
        <v>17.430780000000002</v>
      </c>
      <c r="H119" s="1075">
        <f>E119+G119</f>
        <v>270.05078000000003</v>
      </c>
      <c r="I119" s="442">
        <v>6.9000000000000006E-2</v>
      </c>
      <c r="J119" s="426">
        <f t="shared" si="67"/>
        <v>18.633503820000005</v>
      </c>
      <c r="K119" s="1075">
        <f t="shared" si="68"/>
        <v>288.68428382000002</v>
      </c>
      <c r="L119" s="1075">
        <f t="shared" si="57"/>
        <v>303.98455086246003</v>
      </c>
      <c r="M119" s="1075">
        <f t="shared" si="69"/>
        <v>320.39971660903285</v>
      </c>
      <c r="N119" s="1075">
        <f t="shared" si="70"/>
        <v>352.43968826993614</v>
      </c>
      <c r="O119" s="1083">
        <f t="shared" si="71"/>
        <v>370.06167268343296</v>
      </c>
      <c r="P119" s="1083">
        <f t="shared" si="61"/>
        <v>389.67494133565492</v>
      </c>
      <c r="Q119" s="1083">
        <f t="shared" si="62"/>
        <v>409.15868840243769</v>
      </c>
      <c r="R119" s="1049">
        <f t="shared" si="63"/>
        <v>424.29755987332788</v>
      </c>
      <c r="S119" s="761">
        <f t="shared" si="64"/>
        <v>438.29937934914773</v>
      </c>
      <c r="T119" s="761">
        <f t="shared" si="65"/>
        <v>452.32495948832047</v>
      </c>
    </row>
    <row r="120" spans="1:20" ht="16" thickBot="1">
      <c r="A120" s="500" t="s">
        <v>1038</v>
      </c>
      <c r="B120" s="1062"/>
      <c r="C120" s="492"/>
      <c r="D120" s="497"/>
      <c r="E120" s="1076"/>
      <c r="F120" s="442"/>
      <c r="G120" s="427"/>
      <c r="H120" s="1076"/>
      <c r="I120" s="442"/>
      <c r="J120" s="425"/>
      <c r="K120" s="1076"/>
      <c r="L120" s="1076">
        <f t="shared" si="57"/>
        <v>0</v>
      </c>
      <c r="M120" s="1076">
        <f t="shared" ref="M120:O120" si="72">L120*5.3%+L120</f>
        <v>0</v>
      </c>
      <c r="N120" s="1076">
        <f t="shared" si="72"/>
        <v>0</v>
      </c>
      <c r="O120" s="1068">
        <f t="shared" si="72"/>
        <v>0</v>
      </c>
      <c r="P120" s="1068"/>
      <c r="Q120" s="1068"/>
      <c r="R120" s="1046"/>
      <c r="S120" s="761"/>
      <c r="T120" s="761"/>
    </row>
    <row r="121" spans="1:20">
      <c r="A121" s="428"/>
      <c r="S121" s="761"/>
      <c r="T121" s="761"/>
    </row>
    <row r="122" spans="1:20">
      <c r="A122" s="424" t="s">
        <v>1039</v>
      </c>
      <c r="S122" s="761"/>
      <c r="T122" s="761"/>
    </row>
    <row r="123" spans="1:20">
      <c r="A123" s="428"/>
      <c r="S123" s="761"/>
      <c r="T123" s="761"/>
    </row>
    <row r="124" spans="1:20" ht="16" thickBot="1">
      <c r="A124" s="428" t="s">
        <v>1040</v>
      </c>
      <c r="S124" s="761"/>
      <c r="T124" s="761"/>
    </row>
    <row r="125" spans="1:20" ht="16" thickBot="1">
      <c r="A125" s="1053" t="s">
        <v>917</v>
      </c>
      <c r="B125" s="1110" t="s">
        <v>918</v>
      </c>
      <c r="C125" s="1111"/>
      <c r="D125" s="504" t="s">
        <v>920</v>
      </c>
      <c r="E125" s="798" t="s">
        <v>1041</v>
      </c>
      <c r="F125" s="505"/>
      <c r="H125" s="437" t="s">
        <v>918</v>
      </c>
      <c r="I125" s="506"/>
      <c r="J125" s="290"/>
      <c r="K125" s="437" t="s">
        <v>918</v>
      </c>
      <c r="L125" s="437" t="s">
        <v>918</v>
      </c>
      <c r="M125" s="437" t="s">
        <v>918</v>
      </c>
      <c r="N125" s="437" t="s">
        <v>918</v>
      </c>
      <c r="O125" s="763" t="s">
        <v>918</v>
      </c>
      <c r="P125" s="763" t="s">
        <v>918</v>
      </c>
      <c r="Q125" s="763" t="s">
        <v>918</v>
      </c>
      <c r="R125" s="841" t="s">
        <v>918</v>
      </c>
      <c r="S125" s="860" t="s">
        <v>918</v>
      </c>
      <c r="T125" s="860" t="s">
        <v>918</v>
      </c>
    </row>
    <row r="126" spans="1:20" ht="16" thickBot="1">
      <c r="A126" s="1054"/>
      <c r="B126" s="1112" t="s">
        <v>433</v>
      </c>
      <c r="C126" s="1056"/>
      <c r="D126" s="507" t="s">
        <v>1042</v>
      </c>
      <c r="E126" s="799" t="s">
        <v>436</v>
      </c>
      <c r="F126" s="508"/>
      <c r="H126" s="437" t="s">
        <v>437</v>
      </c>
      <c r="I126" s="470"/>
      <c r="J126" s="471"/>
      <c r="K126" s="437" t="s">
        <v>438</v>
      </c>
      <c r="L126" s="437" t="s">
        <v>439</v>
      </c>
      <c r="M126" s="437" t="s">
        <v>304</v>
      </c>
      <c r="N126" s="437" t="s">
        <v>305</v>
      </c>
      <c r="O126" s="763" t="s">
        <v>306</v>
      </c>
      <c r="P126" s="763" t="s">
        <v>307</v>
      </c>
      <c r="Q126" s="763" t="s">
        <v>308</v>
      </c>
      <c r="R126" s="841" t="s">
        <v>309</v>
      </c>
      <c r="S126" s="866" t="s">
        <v>310</v>
      </c>
      <c r="T126" s="866" t="s">
        <v>1248</v>
      </c>
    </row>
    <row r="127" spans="1:20">
      <c r="A127" s="1089" t="s">
        <v>1043</v>
      </c>
      <c r="B127" s="1090"/>
      <c r="C127" s="1090"/>
      <c r="D127" s="1090"/>
      <c r="E127" s="1090"/>
      <c r="F127" s="1090"/>
      <c r="G127" s="1090"/>
      <c r="H127" s="1090"/>
      <c r="I127" s="1090"/>
      <c r="J127" s="1090"/>
      <c r="K127" s="1091"/>
      <c r="L127" s="1145"/>
      <c r="M127" s="1146"/>
      <c r="N127" s="1145"/>
      <c r="O127" s="1145"/>
      <c r="P127" s="1145"/>
      <c r="Q127" s="1145"/>
      <c r="R127" s="1153"/>
      <c r="S127" s="865"/>
      <c r="T127" s="865"/>
    </row>
    <row r="128" spans="1:20" ht="16" thickBot="1">
      <c r="A128" s="1092"/>
      <c r="B128" s="1093"/>
      <c r="C128" s="1093"/>
      <c r="D128" s="1093"/>
      <c r="E128" s="1093"/>
      <c r="F128" s="1093"/>
      <c r="G128" s="1093"/>
      <c r="H128" s="1093"/>
      <c r="I128" s="1093"/>
      <c r="J128" s="1093"/>
      <c r="K128" s="1094"/>
      <c r="L128" s="1145"/>
      <c r="M128" s="1146"/>
      <c r="N128" s="1145"/>
      <c r="O128" s="1145"/>
      <c r="P128" s="1145"/>
      <c r="Q128" s="1145"/>
      <c r="R128" s="1153"/>
      <c r="S128" s="865"/>
      <c r="T128" s="865"/>
    </row>
    <row r="129" spans="1:20" ht="16" thickBot="1">
      <c r="A129" s="1095" t="s">
        <v>1044</v>
      </c>
      <c r="B129" s="1096"/>
      <c r="C129" s="1096"/>
      <c r="D129" s="497"/>
      <c r="E129" s="496"/>
      <c r="F129" s="509"/>
      <c r="H129" s="473"/>
      <c r="I129" s="453"/>
      <c r="J129" s="454"/>
      <c r="K129" s="473"/>
      <c r="L129" s="473"/>
      <c r="M129" s="473"/>
      <c r="N129" s="473"/>
      <c r="O129" s="769"/>
      <c r="P129" s="769"/>
      <c r="Q129" s="769"/>
      <c r="R129" s="843"/>
      <c r="S129" s="761"/>
      <c r="T129" s="761"/>
    </row>
    <row r="130" spans="1:20" ht="16" thickBot="1">
      <c r="A130" s="1097" t="s">
        <v>999</v>
      </c>
      <c r="B130" s="1098"/>
      <c r="C130" s="1098"/>
      <c r="D130" s="510"/>
      <c r="E130" s="496"/>
      <c r="F130" s="511"/>
      <c r="H130" s="475"/>
      <c r="I130" s="439"/>
      <c r="J130" s="440"/>
      <c r="K130" s="475"/>
      <c r="L130" s="475"/>
      <c r="M130" s="475"/>
      <c r="N130" s="475"/>
      <c r="O130" s="770"/>
      <c r="P130" s="770"/>
      <c r="Q130" s="770"/>
      <c r="R130" s="847"/>
      <c r="S130" s="761"/>
      <c r="T130" s="761"/>
    </row>
    <row r="131" spans="1:20" ht="16" thickBot="1">
      <c r="A131" s="441" t="s">
        <v>1045</v>
      </c>
      <c r="B131" s="1108" t="s">
        <v>937</v>
      </c>
      <c r="C131" s="1109"/>
      <c r="D131" s="477">
        <v>6.25E-2</v>
      </c>
      <c r="E131" s="800">
        <v>99.3</v>
      </c>
      <c r="F131" s="338">
        <v>6.9000000000000006E-2</v>
      </c>
      <c r="G131" s="478">
        <f t="shared" ref="G131:G136" si="73">E131*F131</f>
        <v>6.8517000000000001</v>
      </c>
      <c r="H131" s="449">
        <f t="shared" ref="H131:H136" si="74">E131+G131</f>
        <v>106.15169999999999</v>
      </c>
      <c r="I131" s="338">
        <v>6.9000000000000006E-2</v>
      </c>
      <c r="J131" s="443">
        <f t="shared" ref="J131:J136" si="75">H131*I131</f>
        <v>7.3244673000000002</v>
      </c>
      <c r="K131" s="449">
        <f t="shared" ref="K131:K136" si="76">H131+J131</f>
        <v>113.47616729999999</v>
      </c>
      <c r="L131" s="449">
        <f>K131*5.3%+K131</f>
        <v>119.49040416689999</v>
      </c>
      <c r="M131" s="449">
        <f t="shared" ref="M131:M136" si="77">L131*5.4%+L131</f>
        <v>125.94288599191259</v>
      </c>
      <c r="N131" s="449">
        <f t="shared" ref="N131:N136" si="78">M131*10%+M131</f>
        <v>138.53717459110385</v>
      </c>
      <c r="O131" s="764">
        <f t="shared" ref="O131:O136" si="79">N131*5%+N131</f>
        <v>145.46403332065904</v>
      </c>
      <c r="P131" s="764">
        <f t="shared" ref="P131:P136" si="80">O131+O131*5.3%</f>
        <v>153.17362708665397</v>
      </c>
      <c r="Q131" s="764">
        <f t="shared" ref="Q131:T136" si="81">P131+P131*5%</f>
        <v>160.83230844098665</v>
      </c>
      <c r="R131" s="847">
        <f>Q131+Q131*3.7%</f>
        <v>166.78310385330315</v>
      </c>
      <c r="S131" s="761">
        <f>R131+R131*3.3%</f>
        <v>172.28694628046216</v>
      </c>
      <c r="T131" s="761">
        <f>S131+S131*3.2%</f>
        <v>177.80012856143696</v>
      </c>
    </row>
    <row r="132" spans="1:20" ht="16" thickBot="1">
      <c r="A132" s="441" t="s">
        <v>1046</v>
      </c>
      <c r="B132" s="1108" t="s">
        <v>961</v>
      </c>
      <c r="C132" s="1109"/>
      <c r="D132" s="477">
        <v>6.25E-2</v>
      </c>
      <c r="E132" s="800">
        <v>143.11000000000001</v>
      </c>
      <c r="F132" s="338">
        <v>6.9000000000000006E-2</v>
      </c>
      <c r="G132" s="478">
        <f t="shared" si="73"/>
        <v>9.8745900000000013</v>
      </c>
      <c r="H132" s="449">
        <f t="shared" si="74"/>
        <v>152.98459000000003</v>
      </c>
      <c r="I132" s="338">
        <v>6.9000000000000006E-2</v>
      </c>
      <c r="J132" s="443">
        <f t="shared" si="75"/>
        <v>10.555936710000003</v>
      </c>
      <c r="K132" s="449">
        <f t="shared" si="76"/>
        <v>163.54052671000002</v>
      </c>
      <c r="L132" s="449">
        <f t="shared" ref="L132:L136" si="82">K132*5.3%+K132</f>
        <v>172.20817462563002</v>
      </c>
      <c r="M132" s="449">
        <f t="shared" si="77"/>
        <v>181.50741605541404</v>
      </c>
      <c r="N132" s="449">
        <f t="shared" si="78"/>
        <v>199.65815766095545</v>
      </c>
      <c r="O132" s="764">
        <f t="shared" si="79"/>
        <v>209.64106554400323</v>
      </c>
      <c r="P132" s="764">
        <f t="shared" si="80"/>
        <v>220.75204201783541</v>
      </c>
      <c r="Q132" s="764">
        <f t="shared" si="81"/>
        <v>231.78964411872718</v>
      </c>
      <c r="R132" s="847">
        <f t="shared" si="81"/>
        <v>243.37912632466353</v>
      </c>
      <c r="S132" s="761">
        <f t="shared" si="81"/>
        <v>255.54808264089672</v>
      </c>
      <c r="T132" s="761">
        <f t="shared" si="81"/>
        <v>268.32548677294153</v>
      </c>
    </row>
    <row r="133" spans="1:20" ht="16" thickBot="1">
      <c r="A133" s="441" t="s">
        <v>1047</v>
      </c>
      <c r="B133" s="1108" t="s">
        <v>1048</v>
      </c>
      <c r="C133" s="1109"/>
      <c r="D133" s="477">
        <v>6.25E-2</v>
      </c>
      <c r="E133" s="800">
        <v>186.91</v>
      </c>
      <c r="F133" s="338">
        <v>6.9000000000000006E-2</v>
      </c>
      <c r="G133" s="478">
        <f t="shared" si="73"/>
        <v>12.896790000000001</v>
      </c>
      <c r="H133" s="449">
        <f t="shared" si="74"/>
        <v>199.80679000000001</v>
      </c>
      <c r="I133" s="338">
        <v>6.9000000000000006E-2</v>
      </c>
      <c r="J133" s="443">
        <f t="shared" si="75"/>
        <v>13.786668510000002</v>
      </c>
      <c r="K133" s="449">
        <f t="shared" si="76"/>
        <v>213.59345851</v>
      </c>
      <c r="L133" s="449">
        <f t="shared" si="82"/>
        <v>224.91391181103</v>
      </c>
      <c r="M133" s="449">
        <f t="shared" si="77"/>
        <v>237.05926304882561</v>
      </c>
      <c r="N133" s="449">
        <f t="shared" si="78"/>
        <v>260.76518935370819</v>
      </c>
      <c r="O133" s="764">
        <f t="shared" si="79"/>
        <v>273.8034488213936</v>
      </c>
      <c r="P133" s="764">
        <f t="shared" si="80"/>
        <v>288.31503160892748</v>
      </c>
      <c r="Q133" s="764">
        <f t="shared" si="81"/>
        <v>302.73078318937388</v>
      </c>
      <c r="R133" s="847">
        <f t="shared" si="81"/>
        <v>317.86732234884255</v>
      </c>
      <c r="S133" s="761">
        <f t="shared" si="81"/>
        <v>333.76068846628471</v>
      </c>
      <c r="T133" s="761">
        <f t="shared" si="81"/>
        <v>350.44872288959891</v>
      </c>
    </row>
    <row r="134" spans="1:20" ht="16" thickBot="1">
      <c r="A134" s="441" t="s">
        <v>1049</v>
      </c>
      <c r="B134" s="1108" t="s">
        <v>1050</v>
      </c>
      <c r="C134" s="1109"/>
      <c r="D134" s="477">
        <v>6.25E-2</v>
      </c>
      <c r="E134" s="800">
        <v>236.56</v>
      </c>
      <c r="F134" s="338">
        <v>6.9000000000000006E-2</v>
      </c>
      <c r="G134" s="478">
        <f t="shared" si="73"/>
        <v>16.32264</v>
      </c>
      <c r="H134" s="449">
        <f t="shared" si="74"/>
        <v>252.88264000000001</v>
      </c>
      <c r="I134" s="338">
        <v>6.9000000000000006E-2</v>
      </c>
      <c r="J134" s="443">
        <f t="shared" si="75"/>
        <v>17.448902160000003</v>
      </c>
      <c r="K134" s="449">
        <f t="shared" si="76"/>
        <v>270.33154216000003</v>
      </c>
      <c r="L134" s="449">
        <f t="shared" si="82"/>
        <v>284.65911389448002</v>
      </c>
      <c r="M134" s="449">
        <f t="shared" si="77"/>
        <v>300.03070604478194</v>
      </c>
      <c r="N134" s="449">
        <f t="shared" si="78"/>
        <v>330.03377664926012</v>
      </c>
      <c r="O134" s="764">
        <f t="shared" si="79"/>
        <v>346.53546548172312</v>
      </c>
      <c r="P134" s="764">
        <f t="shared" si="80"/>
        <v>364.90184515225445</v>
      </c>
      <c r="Q134" s="764">
        <f t="shared" si="81"/>
        <v>383.14693740986718</v>
      </c>
      <c r="R134" s="847">
        <f t="shared" si="81"/>
        <v>402.30428428036055</v>
      </c>
      <c r="S134" s="761">
        <f t="shared" si="81"/>
        <v>422.41949849437856</v>
      </c>
      <c r="T134" s="761">
        <f t="shared" si="81"/>
        <v>443.54047341909751</v>
      </c>
    </row>
    <row r="135" spans="1:20" ht="16" thickBot="1">
      <c r="A135" s="441" t="s">
        <v>1051</v>
      </c>
      <c r="B135" s="1108" t="s">
        <v>1052</v>
      </c>
      <c r="C135" s="1109"/>
      <c r="D135" s="477">
        <v>6.25E-2</v>
      </c>
      <c r="E135" s="800">
        <v>280.37</v>
      </c>
      <c r="F135" s="338">
        <v>6.9000000000000006E-2</v>
      </c>
      <c r="G135" s="478">
        <f t="shared" si="73"/>
        <v>19.345530000000004</v>
      </c>
      <c r="H135" s="449">
        <f t="shared" si="74"/>
        <v>299.71553</v>
      </c>
      <c r="I135" s="338">
        <v>6.9000000000000006E-2</v>
      </c>
      <c r="J135" s="443">
        <f t="shared" si="75"/>
        <v>20.680371570000002</v>
      </c>
      <c r="K135" s="449">
        <f t="shared" si="76"/>
        <v>320.39590156999998</v>
      </c>
      <c r="L135" s="449">
        <f t="shared" si="82"/>
        <v>337.37688435320996</v>
      </c>
      <c r="M135" s="449">
        <f t="shared" si="77"/>
        <v>355.5952361082833</v>
      </c>
      <c r="N135" s="449">
        <f t="shared" si="78"/>
        <v>391.15475971911161</v>
      </c>
      <c r="O135" s="764">
        <f t="shared" si="79"/>
        <v>410.71249770506722</v>
      </c>
      <c r="P135" s="764">
        <f t="shared" si="80"/>
        <v>432.48026008343578</v>
      </c>
      <c r="Q135" s="764">
        <f t="shared" si="81"/>
        <v>454.10427308760757</v>
      </c>
      <c r="R135" s="847">
        <f t="shared" si="81"/>
        <v>476.80948674198794</v>
      </c>
      <c r="S135" s="761">
        <f t="shared" si="81"/>
        <v>500.64996107908735</v>
      </c>
      <c r="T135" s="761">
        <f t="shared" si="81"/>
        <v>525.68245913304168</v>
      </c>
    </row>
    <row r="136" spans="1:20" ht="16" thickBot="1">
      <c r="A136" s="441" t="s">
        <v>1053</v>
      </c>
      <c r="B136" s="1108" t="s">
        <v>1054</v>
      </c>
      <c r="C136" s="1109"/>
      <c r="D136" s="477">
        <v>6.25E-2</v>
      </c>
      <c r="E136" s="800">
        <v>328.55</v>
      </c>
      <c r="F136" s="338">
        <v>6.9000000000000006E-2</v>
      </c>
      <c r="G136" s="478">
        <f t="shared" si="73"/>
        <v>22.669950000000004</v>
      </c>
      <c r="H136" s="449">
        <f t="shared" si="74"/>
        <v>351.21995000000004</v>
      </c>
      <c r="I136" s="338">
        <v>6.9000000000000006E-2</v>
      </c>
      <c r="J136" s="443">
        <f t="shared" si="75"/>
        <v>24.234176550000004</v>
      </c>
      <c r="K136" s="449">
        <f t="shared" si="76"/>
        <v>375.45412655000007</v>
      </c>
      <c r="L136" s="449">
        <f t="shared" si="82"/>
        <v>395.35319525715005</v>
      </c>
      <c r="M136" s="449">
        <f t="shared" si="77"/>
        <v>416.70226780103616</v>
      </c>
      <c r="N136" s="449">
        <f t="shared" si="78"/>
        <v>458.37249458113979</v>
      </c>
      <c r="O136" s="764">
        <f t="shared" si="79"/>
        <v>481.29111931019679</v>
      </c>
      <c r="P136" s="764">
        <f t="shared" si="80"/>
        <v>506.79954863363724</v>
      </c>
      <c r="Q136" s="764">
        <f t="shared" si="81"/>
        <v>532.13952606531916</v>
      </c>
      <c r="R136" s="847">
        <f t="shared" si="81"/>
        <v>558.74650236858508</v>
      </c>
      <c r="S136" s="761">
        <f t="shared" si="81"/>
        <v>586.68382748701436</v>
      </c>
      <c r="T136" s="761">
        <f t="shared" si="81"/>
        <v>616.01801886136502</v>
      </c>
    </row>
    <row r="137" spans="1:20" ht="16" thickBot="1">
      <c r="A137" s="1097" t="s">
        <v>1011</v>
      </c>
      <c r="B137" s="1098"/>
      <c r="C137" s="1098"/>
      <c r="D137" s="480"/>
      <c r="E137" s="795"/>
      <c r="F137" s="480"/>
      <c r="H137" s="475"/>
      <c r="I137" s="439"/>
      <c r="J137" s="440"/>
      <c r="K137" s="475"/>
      <c r="L137" s="475"/>
      <c r="M137" s="475"/>
      <c r="N137" s="475"/>
      <c r="O137" s="770"/>
      <c r="P137" s="770"/>
      <c r="Q137" s="770"/>
      <c r="R137" s="847"/>
      <c r="S137" s="761"/>
      <c r="T137" s="761"/>
    </row>
    <row r="138" spans="1:20" ht="16" thickBot="1">
      <c r="A138" s="441" t="s">
        <v>1055</v>
      </c>
      <c r="B138" s="1108" t="s">
        <v>937</v>
      </c>
      <c r="C138" s="1109"/>
      <c r="D138" s="477">
        <v>6.25E-2</v>
      </c>
      <c r="E138" s="800">
        <v>99.3</v>
      </c>
      <c r="F138" s="338">
        <v>6.9000000000000006E-2</v>
      </c>
      <c r="G138" s="478">
        <f t="shared" ref="G138:G144" si="83">E138*F138</f>
        <v>6.8517000000000001</v>
      </c>
      <c r="H138" s="449">
        <f t="shared" ref="H138:H144" si="84">E138+G138</f>
        <v>106.15169999999999</v>
      </c>
      <c r="I138" s="338">
        <v>6.9000000000000006E-2</v>
      </c>
      <c r="J138" s="443">
        <f t="shared" ref="J138:J144" si="85">H138*I138</f>
        <v>7.3244673000000002</v>
      </c>
      <c r="K138" s="449">
        <f t="shared" ref="K138:K144" si="86">H138+J138</f>
        <v>113.47616729999999</v>
      </c>
      <c r="L138" s="449">
        <f>K138*5.3%+K138</f>
        <v>119.49040416689999</v>
      </c>
      <c r="M138" s="449">
        <f t="shared" ref="M138:M144" si="87">L138*5.4%+L138</f>
        <v>125.94288599191259</v>
      </c>
      <c r="N138" s="449">
        <f t="shared" ref="N138:N144" si="88">M138*10%+M138</f>
        <v>138.53717459110385</v>
      </c>
      <c r="O138" s="764">
        <f t="shared" ref="O138:O144" si="89">N138*5%+N138</f>
        <v>145.46403332065904</v>
      </c>
      <c r="P138" s="764">
        <f t="shared" ref="P138:P144" si="90">O138+O138*5.3%</f>
        <v>153.17362708665397</v>
      </c>
      <c r="Q138" s="764">
        <f t="shared" ref="Q138:T144" si="91">P138+P138*5%</f>
        <v>160.83230844098665</v>
      </c>
      <c r="R138" s="847">
        <f t="shared" si="91"/>
        <v>168.873923863036</v>
      </c>
      <c r="S138" s="761">
        <f t="shared" si="91"/>
        <v>177.31762005618779</v>
      </c>
      <c r="T138" s="761">
        <f t="shared" si="91"/>
        <v>186.18350105899719</v>
      </c>
    </row>
    <row r="139" spans="1:20" ht="16" thickBot="1">
      <c r="A139" s="441" t="s">
        <v>1056</v>
      </c>
      <c r="B139" s="1108" t="s">
        <v>961</v>
      </c>
      <c r="C139" s="1109"/>
      <c r="D139" s="477">
        <v>6.25E-2</v>
      </c>
      <c r="E139" s="800">
        <v>143.11000000000001</v>
      </c>
      <c r="F139" s="338">
        <v>6.9000000000000006E-2</v>
      </c>
      <c r="G139" s="478">
        <f t="shared" si="83"/>
        <v>9.8745900000000013</v>
      </c>
      <c r="H139" s="449">
        <f t="shared" si="84"/>
        <v>152.98459000000003</v>
      </c>
      <c r="I139" s="338">
        <v>6.9000000000000006E-2</v>
      </c>
      <c r="J139" s="443">
        <f t="shared" si="85"/>
        <v>10.555936710000003</v>
      </c>
      <c r="K139" s="449">
        <f t="shared" si="86"/>
        <v>163.54052671000002</v>
      </c>
      <c r="L139" s="449">
        <f t="shared" ref="L139:L143" si="92">K139*5.3%+K139</f>
        <v>172.20817462563002</v>
      </c>
      <c r="M139" s="449">
        <f t="shared" si="87"/>
        <v>181.50741605541404</v>
      </c>
      <c r="N139" s="449">
        <f t="shared" si="88"/>
        <v>199.65815766095545</v>
      </c>
      <c r="O139" s="764">
        <f t="shared" si="89"/>
        <v>209.64106554400323</v>
      </c>
      <c r="P139" s="764">
        <f t="shared" si="90"/>
        <v>220.75204201783541</v>
      </c>
      <c r="Q139" s="764">
        <f t="shared" si="91"/>
        <v>231.78964411872718</v>
      </c>
      <c r="R139" s="847">
        <f t="shared" si="91"/>
        <v>243.37912632466353</v>
      </c>
      <c r="S139" s="761">
        <f t="shared" si="91"/>
        <v>255.54808264089672</v>
      </c>
      <c r="T139" s="761">
        <f t="shared" si="91"/>
        <v>268.32548677294153</v>
      </c>
    </row>
    <row r="140" spans="1:20" ht="16" thickBot="1">
      <c r="A140" s="441" t="s">
        <v>1049</v>
      </c>
      <c r="B140" s="1108" t="s">
        <v>1048</v>
      </c>
      <c r="C140" s="1109"/>
      <c r="D140" s="477">
        <v>6.25E-2</v>
      </c>
      <c r="E140" s="800">
        <v>186.91</v>
      </c>
      <c r="F140" s="338">
        <v>6.9000000000000006E-2</v>
      </c>
      <c r="G140" s="478">
        <f t="shared" si="83"/>
        <v>12.896790000000001</v>
      </c>
      <c r="H140" s="449">
        <f t="shared" si="84"/>
        <v>199.80679000000001</v>
      </c>
      <c r="I140" s="338">
        <v>6.9000000000000006E-2</v>
      </c>
      <c r="J140" s="443">
        <f t="shared" si="85"/>
        <v>13.786668510000002</v>
      </c>
      <c r="K140" s="449">
        <f t="shared" si="86"/>
        <v>213.59345851</v>
      </c>
      <c r="L140" s="449">
        <f t="shared" si="92"/>
        <v>224.91391181103</v>
      </c>
      <c r="M140" s="449">
        <f t="shared" si="87"/>
        <v>237.05926304882561</v>
      </c>
      <c r="N140" s="449">
        <f t="shared" si="88"/>
        <v>260.76518935370819</v>
      </c>
      <c r="O140" s="764">
        <f t="shared" si="89"/>
        <v>273.8034488213936</v>
      </c>
      <c r="P140" s="764">
        <f t="shared" si="90"/>
        <v>288.31503160892748</v>
      </c>
      <c r="Q140" s="764">
        <f t="shared" si="91"/>
        <v>302.73078318937388</v>
      </c>
      <c r="R140" s="847">
        <f t="shared" si="91"/>
        <v>317.86732234884255</v>
      </c>
      <c r="S140" s="761">
        <f t="shared" si="91"/>
        <v>333.76068846628471</v>
      </c>
      <c r="T140" s="761">
        <f t="shared" si="91"/>
        <v>350.44872288959891</v>
      </c>
    </row>
    <row r="141" spans="1:20" ht="16" thickBot="1">
      <c r="A141" s="441" t="s">
        <v>1057</v>
      </c>
      <c r="B141" s="1108" t="s">
        <v>1050</v>
      </c>
      <c r="C141" s="1109"/>
      <c r="D141" s="477">
        <v>6.25E-2</v>
      </c>
      <c r="E141" s="800">
        <v>236.56</v>
      </c>
      <c r="F141" s="338">
        <v>6.9000000000000006E-2</v>
      </c>
      <c r="G141" s="478">
        <f t="shared" si="83"/>
        <v>16.32264</v>
      </c>
      <c r="H141" s="449">
        <f t="shared" si="84"/>
        <v>252.88264000000001</v>
      </c>
      <c r="I141" s="338">
        <v>6.9000000000000006E-2</v>
      </c>
      <c r="J141" s="443">
        <f t="shared" si="85"/>
        <v>17.448902160000003</v>
      </c>
      <c r="K141" s="449">
        <f t="shared" si="86"/>
        <v>270.33154216000003</v>
      </c>
      <c r="L141" s="449">
        <f t="shared" si="92"/>
        <v>284.65911389448002</v>
      </c>
      <c r="M141" s="449">
        <f t="shared" si="87"/>
        <v>300.03070604478194</v>
      </c>
      <c r="N141" s="449">
        <f t="shared" si="88"/>
        <v>330.03377664926012</v>
      </c>
      <c r="O141" s="764">
        <f t="shared" si="89"/>
        <v>346.53546548172312</v>
      </c>
      <c r="P141" s="764">
        <f t="shared" si="90"/>
        <v>364.90184515225445</v>
      </c>
      <c r="Q141" s="764">
        <f t="shared" si="91"/>
        <v>383.14693740986718</v>
      </c>
      <c r="R141" s="847">
        <f t="shared" si="91"/>
        <v>402.30428428036055</v>
      </c>
      <c r="S141" s="761">
        <f t="shared" si="91"/>
        <v>422.41949849437856</v>
      </c>
      <c r="T141" s="761">
        <f t="shared" si="91"/>
        <v>443.54047341909751</v>
      </c>
    </row>
    <row r="142" spans="1:20" ht="16" thickBot="1">
      <c r="A142" s="441" t="s">
        <v>1058</v>
      </c>
      <c r="B142" s="1108" t="s">
        <v>1052</v>
      </c>
      <c r="C142" s="1109"/>
      <c r="D142" s="477">
        <v>6.25E-2</v>
      </c>
      <c r="E142" s="800">
        <v>280.37</v>
      </c>
      <c r="F142" s="338">
        <v>6.9000000000000006E-2</v>
      </c>
      <c r="G142" s="478">
        <f t="shared" si="83"/>
        <v>19.345530000000004</v>
      </c>
      <c r="H142" s="449">
        <f t="shared" si="84"/>
        <v>299.71553</v>
      </c>
      <c r="I142" s="338">
        <v>6.9000000000000006E-2</v>
      </c>
      <c r="J142" s="443">
        <f t="shared" si="85"/>
        <v>20.680371570000002</v>
      </c>
      <c r="K142" s="449">
        <f t="shared" si="86"/>
        <v>320.39590156999998</v>
      </c>
      <c r="L142" s="449">
        <f t="shared" si="92"/>
        <v>337.37688435320996</v>
      </c>
      <c r="M142" s="449">
        <f t="shared" si="87"/>
        <v>355.5952361082833</v>
      </c>
      <c r="N142" s="449">
        <f t="shared" si="88"/>
        <v>391.15475971911161</v>
      </c>
      <c r="O142" s="764">
        <f t="shared" si="89"/>
        <v>410.71249770506722</v>
      </c>
      <c r="P142" s="764">
        <f t="shared" si="90"/>
        <v>432.48026008343578</v>
      </c>
      <c r="Q142" s="764">
        <f t="shared" si="91"/>
        <v>454.10427308760757</v>
      </c>
      <c r="R142" s="847">
        <f t="shared" si="91"/>
        <v>476.80948674198794</v>
      </c>
      <c r="S142" s="761">
        <f t="shared" si="91"/>
        <v>500.64996107908735</v>
      </c>
      <c r="T142" s="761">
        <f t="shared" si="91"/>
        <v>525.68245913304168</v>
      </c>
    </row>
    <row r="143" spans="1:20" ht="16" thickBot="1">
      <c r="A143" s="441" t="s">
        <v>1059</v>
      </c>
      <c r="B143" s="1108" t="s">
        <v>1060</v>
      </c>
      <c r="C143" s="1109"/>
      <c r="D143" s="477">
        <v>6.25E-2</v>
      </c>
      <c r="E143" s="800">
        <v>316.39</v>
      </c>
      <c r="F143" s="512">
        <v>6.25E-2</v>
      </c>
      <c r="G143" s="478">
        <f t="shared" si="83"/>
        <v>19.774374999999999</v>
      </c>
      <c r="H143" s="449">
        <f t="shared" si="84"/>
        <v>336.16437500000001</v>
      </c>
      <c r="I143" s="338">
        <v>6.9000000000000006E-2</v>
      </c>
      <c r="J143" s="443">
        <f t="shared" si="85"/>
        <v>23.195341875000004</v>
      </c>
      <c r="K143" s="449">
        <f t="shared" si="86"/>
        <v>359.359716875</v>
      </c>
      <c r="L143" s="449">
        <f t="shared" si="92"/>
        <v>378.40578186937501</v>
      </c>
      <c r="M143" s="449">
        <f t="shared" si="87"/>
        <v>398.83969409032125</v>
      </c>
      <c r="N143" s="449">
        <f t="shared" si="88"/>
        <v>438.72366349935339</v>
      </c>
      <c r="O143" s="764">
        <f t="shared" si="89"/>
        <v>460.65984667432105</v>
      </c>
      <c r="P143" s="764">
        <f t="shared" si="90"/>
        <v>485.07481854806008</v>
      </c>
      <c r="Q143" s="764">
        <f t="shared" si="91"/>
        <v>509.32855947546307</v>
      </c>
      <c r="R143" s="847">
        <f t="shared" si="91"/>
        <v>534.79498744923626</v>
      </c>
      <c r="S143" s="761">
        <f t="shared" si="91"/>
        <v>561.53473682169806</v>
      </c>
      <c r="T143" s="761">
        <f t="shared" si="91"/>
        <v>589.61147366278294</v>
      </c>
    </row>
    <row r="144" spans="1:20" ht="29" thickBot="1">
      <c r="A144" s="513" t="s">
        <v>1061</v>
      </c>
      <c r="B144" s="1115">
        <v>1.45</v>
      </c>
      <c r="C144" s="1116"/>
      <c r="D144" s="477">
        <v>6.25E-2</v>
      </c>
      <c r="E144" s="1119">
        <v>1.74</v>
      </c>
      <c r="F144" s="514">
        <v>6.25E-2</v>
      </c>
      <c r="G144" s="503">
        <f t="shared" si="83"/>
        <v>0.10875</v>
      </c>
      <c r="H144" s="1075">
        <f t="shared" si="84"/>
        <v>1.8487499999999999</v>
      </c>
      <c r="I144" s="338">
        <v>6.9000000000000006E-2</v>
      </c>
      <c r="J144" s="496">
        <f t="shared" si="85"/>
        <v>0.12756375</v>
      </c>
      <c r="K144" s="1075">
        <f t="shared" si="86"/>
        <v>1.9763137499999999</v>
      </c>
      <c r="L144" s="1075">
        <f t="shared" ref="L144" si="93">K144*5.3%+K144</f>
        <v>2.0810583787499999</v>
      </c>
      <c r="M144" s="1075">
        <f t="shared" si="87"/>
        <v>2.1934355312024998</v>
      </c>
      <c r="N144" s="1075">
        <f t="shared" si="88"/>
        <v>2.4127790843227497</v>
      </c>
      <c r="O144" s="1083">
        <f t="shared" si="89"/>
        <v>2.5334180385388874</v>
      </c>
      <c r="P144" s="1083">
        <f t="shared" si="90"/>
        <v>2.6676891945814485</v>
      </c>
      <c r="Q144" s="1083">
        <f t="shared" si="91"/>
        <v>2.801073654310521</v>
      </c>
      <c r="R144" s="1049">
        <f t="shared" si="91"/>
        <v>2.9411273370260469</v>
      </c>
      <c r="S144" s="761">
        <f t="shared" si="91"/>
        <v>3.0881837038773492</v>
      </c>
      <c r="T144" s="761">
        <f t="shared" si="91"/>
        <v>3.2425928890712168</v>
      </c>
    </row>
    <row r="145" spans="1:20" ht="16" thickBot="1">
      <c r="A145" s="482" t="s">
        <v>1062</v>
      </c>
      <c r="B145" s="1117"/>
      <c r="C145" s="1118"/>
      <c r="D145" s="480"/>
      <c r="E145" s="1120"/>
      <c r="F145" s="515"/>
      <c r="G145" s="427"/>
      <c r="H145" s="1076"/>
      <c r="I145" s="498"/>
      <c r="J145" s="499"/>
      <c r="K145" s="1076"/>
      <c r="L145" s="1076">
        <f t="shared" ref="L145" si="94">K145*5.3%+K145</f>
        <v>0</v>
      </c>
      <c r="M145" s="1076">
        <f t="shared" ref="M145:O145" si="95">L145*5.3%+L145</f>
        <v>0</v>
      </c>
      <c r="N145" s="1076">
        <f t="shared" si="95"/>
        <v>0</v>
      </c>
      <c r="O145" s="1068">
        <f t="shared" si="95"/>
        <v>0</v>
      </c>
      <c r="P145" s="1068"/>
      <c r="Q145" s="1068"/>
      <c r="R145" s="1046"/>
      <c r="S145" s="761"/>
      <c r="T145" s="761"/>
    </row>
    <row r="146" spans="1:20" ht="16" thickBot="1">
      <c r="A146" s="500" t="s">
        <v>1063</v>
      </c>
      <c r="B146" s="1108" t="s">
        <v>1064</v>
      </c>
      <c r="C146" s="1109"/>
      <c r="D146" s="477">
        <v>6.25E-2</v>
      </c>
      <c r="E146" s="800">
        <v>306.64999999999998</v>
      </c>
      <c r="F146" s="338">
        <v>6.9000000000000006E-2</v>
      </c>
      <c r="G146" s="478">
        <f>E146*F146</f>
        <v>21.158850000000001</v>
      </c>
      <c r="H146" s="449">
        <f>E146+G146</f>
        <v>327.80885000000001</v>
      </c>
      <c r="I146" s="338">
        <v>6.9000000000000006E-2</v>
      </c>
      <c r="J146" s="443">
        <f>H146*I146</f>
        <v>22.618810650000004</v>
      </c>
      <c r="K146" s="449">
        <f>H146+J146</f>
        <v>350.42766065000001</v>
      </c>
      <c r="L146" s="449">
        <f t="shared" ref="L146" si="96">K146*5.3%+K146</f>
        <v>369.00032666445003</v>
      </c>
      <c r="M146" s="449">
        <f>L146*5.4%+L146</f>
        <v>388.92634430433031</v>
      </c>
      <c r="N146" s="449">
        <f>M146*10%+M146</f>
        <v>427.81897873476333</v>
      </c>
      <c r="O146" s="764">
        <f>N146*5%+N146</f>
        <v>449.20992767150153</v>
      </c>
      <c r="P146" s="764">
        <f>O146+O146*5.3%</f>
        <v>473.01805383809113</v>
      </c>
      <c r="Q146" s="764">
        <f>P146+P146*5%</f>
        <v>496.66895652999568</v>
      </c>
      <c r="R146" s="847">
        <f>Q146+Q146*5%</f>
        <v>521.5024043564955</v>
      </c>
      <c r="S146" s="761">
        <f>R146+R146*5%</f>
        <v>547.57752457432025</v>
      </c>
      <c r="T146" s="761">
        <f>S146+S146*5%</f>
        <v>574.95640080303622</v>
      </c>
    </row>
    <row r="147" spans="1:20" ht="16" thickBot="1">
      <c r="A147" s="1097" t="s">
        <v>1065</v>
      </c>
      <c r="B147" s="1098"/>
      <c r="C147" s="1098"/>
      <c r="D147" s="492"/>
      <c r="E147" s="792"/>
      <c r="F147" s="492"/>
      <c r="H147" s="475"/>
      <c r="I147" s="439"/>
      <c r="J147" s="440"/>
      <c r="K147" s="475"/>
      <c r="L147" s="475"/>
      <c r="M147" s="475"/>
      <c r="N147" s="475"/>
      <c r="O147" s="770"/>
      <c r="P147" s="770"/>
      <c r="Q147" s="770"/>
      <c r="R147" s="847"/>
      <c r="S147" s="761"/>
      <c r="T147" s="761"/>
    </row>
    <row r="148" spans="1:20" ht="16" thickBot="1">
      <c r="A148" s="1097" t="s">
        <v>1066</v>
      </c>
      <c r="B148" s="1098"/>
      <c r="C148" s="1098"/>
      <c r="D148" s="493"/>
      <c r="E148" s="793"/>
      <c r="F148" s="493"/>
      <c r="H148" s="475"/>
      <c r="I148" s="439"/>
      <c r="J148" s="440"/>
      <c r="K148" s="475"/>
      <c r="L148" s="475"/>
      <c r="M148" s="475"/>
      <c r="N148" s="475"/>
      <c r="O148" s="770"/>
      <c r="P148" s="770"/>
      <c r="Q148" s="770"/>
      <c r="R148" s="847"/>
      <c r="S148" s="761"/>
      <c r="T148" s="761"/>
    </row>
    <row r="149" spans="1:20" ht="16" thickBot="1">
      <c r="A149" s="441" t="s">
        <v>1067</v>
      </c>
      <c r="B149" s="1113">
        <v>1.45</v>
      </c>
      <c r="C149" s="1109"/>
      <c r="D149" s="477">
        <v>6.25E-2</v>
      </c>
      <c r="E149" s="800">
        <v>1.75</v>
      </c>
      <c r="F149" s="338">
        <v>6.9000000000000006E-2</v>
      </c>
      <c r="G149" s="478">
        <f t="shared" ref="G149:G158" si="97">E149*F149</f>
        <v>0.12075000000000001</v>
      </c>
      <c r="H149" s="449">
        <f t="shared" ref="H149:H158" si="98">E149+G149</f>
        <v>1.8707499999999999</v>
      </c>
      <c r="I149" s="338">
        <v>6.9000000000000006E-2</v>
      </c>
      <c r="J149" s="443">
        <f t="shared" ref="J149:J158" si="99">H149*I149</f>
        <v>0.12908175</v>
      </c>
      <c r="K149" s="449">
        <f t="shared" ref="K149:K158" si="100">H149+J149</f>
        <v>1.9998317499999998</v>
      </c>
      <c r="L149" s="449">
        <f t="shared" ref="L149" si="101">K149*5.3%+K149</f>
        <v>2.1058228327499999</v>
      </c>
      <c r="M149" s="449">
        <f t="shared" ref="M149:M158" si="102">L149*5.4%+L149</f>
        <v>2.2195372657185</v>
      </c>
      <c r="N149" s="449">
        <f t="shared" ref="N149:N158" si="103">M149*10%+M149</f>
        <v>2.4414909922903498</v>
      </c>
      <c r="O149" s="764">
        <f t="shared" ref="O149:O158" si="104">N149*5%+N149</f>
        <v>2.5635655419048673</v>
      </c>
      <c r="P149" s="764">
        <f t="shared" ref="P149:P158" si="105">O149+O149*5.3%</f>
        <v>2.6994345156258253</v>
      </c>
      <c r="Q149" s="764">
        <f t="shared" ref="Q149:T158" si="106">P149+P149*5%</f>
        <v>2.8344062414071165</v>
      </c>
      <c r="R149" s="847">
        <f t="shared" si="106"/>
        <v>2.9761265534774721</v>
      </c>
      <c r="S149" s="761">
        <f t="shared" si="106"/>
        <v>3.1249328811513459</v>
      </c>
      <c r="T149" s="761">
        <f t="shared" si="106"/>
        <v>3.2811795252089131</v>
      </c>
    </row>
    <row r="150" spans="1:20" ht="16" thickBot="1">
      <c r="A150" s="516" t="s">
        <v>1068</v>
      </c>
      <c r="B150" s="1114">
        <v>1.33</v>
      </c>
      <c r="C150" s="1109"/>
      <c r="D150" s="477">
        <v>6.25E-2</v>
      </c>
      <c r="E150" s="800">
        <v>1.6</v>
      </c>
      <c r="F150" s="338">
        <v>6.9000000000000006E-2</v>
      </c>
      <c r="G150" s="478">
        <f t="shared" si="97"/>
        <v>0.11040000000000001</v>
      </c>
      <c r="H150" s="449">
        <f t="shared" si="98"/>
        <v>1.7104000000000001</v>
      </c>
      <c r="I150" s="338">
        <v>6.9000000000000006E-2</v>
      </c>
      <c r="J150" s="443">
        <f t="shared" si="99"/>
        <v>0.11801760000000001</v>
      </c>
      <c r="K150" s="449">
        <f t="shared" si="100"/>
        <v>1.8284176000000001</v>
      </c>
      <c r="L150" s="449">
        <f t="shared" ref="L150" si="107">K150*5.3%+K150</f>
        <v>1.9253237328000001</v>
      </c>
      <c r="M150" s="449">
        <f t="shared" si="102"/>
        <v>2.0292912143712001</v>
      </c>
      <c r="N150" s="449">
        <f t="shared" si="103"/>
        <v>2.2322203358083201</v>
      </c>
      <c r="O150" s="764">
        <f t="shared" si="104"/>
        <v>2.3438313525987362</v>
      </c>
      <c r="P150" s="764">
        <f t="shared" si="105"/>
        <v>2.4680544142864691</v>
      </c>
      <c r="Q150" s="764">
        <f t="shared" si="106"/>
        <v>2.5914571350007924</v>
      </c>
      <c r="R150" s="847">
        <f t="shared" si="106"/>
        <v>2.7210299917508323</v>
      </c>
      <c r="S150" s="761">
        <f t="shared" si="106"/>
        <v>2.857081491338374</v>
      </c>
      <c r="T150" s="761">
        <f t="shared" si="106"/>
        <v>2.9999355659052926</v>
      </c>
    </row>
    <row r="151" spans="1:20" ht="16" thickBot="1">
      <c r="A151" s="516" t="s">
        <v>1069</v>
      </c>
      <c r="B151" s="1114">
        <v>1.26</v>
      </c>
      <c r="C151" s="1109"/>
      <c r="D151" s="477">
        <v>6.25E-2</v>
      </c>
      <c r="E151" s="800">
        <v>1.52</v>
      </c>
      <c r="F151" s="338">
        <v>6.9000000000000006E-2</v>
      </c>
      <c r="G151" s="478">
        <f t="shared" si="97"/>
        <v>0.10488000000000001</v>
      </c>
      <c r="H151" s="449">
        <f t="shared" si="98"/>
        <v>1.6248800000000001</v>
      </c>
      <c r="I151" s="338">
        <v>6.9000000000000006E-2</v>
      </c>
      <c r="J151" s="443">
        <f t="shared" si="99"/>
        <v>0.11211672000000002</v>
      </c>
      <c r="K151" s="449">
        <f t="shared" si="100"/>
        <v>1.73699672</v>
      </c>
      <c r="L151" s="449">
        <f t="shared" ref="L151" si="108">K151*5.3%+K151</f>
        <v>1.82905754616</v>
      </c>
      <c r="M151" s="449">
        <f t="shared" si="102"/>
        <v>1.9278266536526401</v>
      </c>
      <c r="N151" s="449">
        <f t="shared" si="103"/>
        <v>2.1206093190179041</v>
      </c>
      <c r="O151" s="764">
        <f t="shared" si="104"/>
        <v>2.2266397849687993</v>
      </c>
      <c r="P151" s="764">
        <f t="shared" si="105"/>
        <v>2.3446516935721458</v>
      </c>
      <c r="Q151" s="764">
        <f t="shared" si="106"/>
        <v>2.4618842782507531</v>
      </c>
      <c r="R151" s="847">
        <f t="shared" si="106"/>
        <v>2.5849784921632906</v>
      </c>
      <c r="S151" s="761">
        <f t="shared" si="106"/>
        <v>2.7142274167714553</v>
      </c>
      <c r="T151" s="761">
        <f t="shared" si="106"/>
        <v>2.8499387876100282</v>
      </c>
    </row>
    <row r="152" spans="1:20" ht="16" thickBot="1">
      <c r="A152" s="516" t="s">
        <v>1070</v>
      </c>
      <c r="B152" s="1114">
        <v>1.21</v>
      </c>
      <c r="C152" s="1109"/>
      <c r="D152" s="477">
        <v>6.25E-2</v>
      </c>
      <c r="E152" s="800">
        <v>1.46</v>
      </c>
      <c r="F152" s="338">
        <v>6.9000000000000006E-2</v>
      </c>
      <c r="G152" s="478">
        <f t="shared" si="97"/>
        <v>0.10074000000000001</v>
      </c>
      <c r="H152" s="449">
        <f t="shared" si="98"/>
        <v>1.56074</v>
      </c>
      <c r="I152" s="338">
        <v>6.9000000000000006E-2</v>
      </c>
      <c r="J152" s="443">
        <f t="shared" si="99"/>
        <v>0.10769106000000001</v>
      </c>
      <c r="K152" s="449">
        <f t="shared" si="100"/>
        <v>1.6684310600000001</v>
      </c>
      <c r="L152" s="449">
        <f t="shared" ref="L152" si="109">K152*5.3%+K152</f>
        <v>1.75685790618</v>
      </c>
      <c r="M152" s="449">
        <f t="shared" si="102"/>
        <v>1.8517282331137201</v>
      </c>
      <c r="N152" s="449">
        <f t="shared" si="103"/>
        <v>2.036901056425092</v>
      </c>
      <c r="O152" s="764">
        <f t="shared" si="104"/>
        <v>2.1387461092463464</v>
      </c>
      <c r="P152" s="764">
        <f t="shared" si="105"/>
        <v>2.252099653036403</v>
      </c>
      <c r="Q152" s="764">
        <f t="shared" si="106"/>
        <v>2.3647046356882231</v>
      </c>
      <c r="R152" s="847">
        <f t="shared" si="106"/>
        <v>2.4829398674726342</v>
      </c>
      <c r="S152" s="761">
        <f t="shared" si="106"/>
        <v>2.6070868608462661</v>
      </c>
      <c r="T152" s="761">
        <f t="shared" si="106"/>
        <v>2.7374412038885794</v>
      </c>
    </row>
    <row r="153" spans="1:20" ht="16" thickBot="1">
      <c r="A153" s="441" t="s">
        <v>1071</v>
      </c>
      <c r="B153" s="1113">
        <v>1.08</v>
      </c>
      <c r="C153" s="1109"/>
      <c r="D153" s="477">
        <v>6.25E-2</v>
      </c>
      <c r="E153" s="800">
        <v>1.3</v>
      </c>
      <c r="F153" s="338">
        <v>6.9000000000000006E-2</v>
      </c>
      <c r="G153" s="478">
        <f t="shared" si="97"/>
        <v>8.9700000000000016E-2</v>
      </c>
      <c r="H153" s="449">
        <f t="shared" si="98"/>
        <v>1.3897000000000002</v>
      </c>
      <c r="I153" s="338">
        <v>6.9000000000000006E-2</v>
      </c>
      <c r="J153" s="443">
        <f t="shared" si="99"/>
        <v>9.5889300000000025E-2</v>
      </c>
      <c r="K153" s="449">
        <f t="shared" si="100"/>
        <v>1.4855893000000002</v>
      </c>
      <c r="L153" s="449">
        <f t="shared" ref="L153" si="110">K153*5.3%+K153</f>
        <v>1.5643255329000003</v>
      </c>
      <c r="M153" s="449">
        <f t="shared" si="102"/>
        <v>1.6487991116766003</v>
      </c>
      <c r="N153" s="449">
        <f t="shared" si="103"/>
        <v>1.8136790228442603</v>
      </c>
      <c r="O153" s="764">
        <f t="shared" si="104"/>
        <v>1.9043629739864734</v>
      </c>
      <c r="P153" s="764">
        <f t="shared" si="105"/>
        <v>2.0052942116077563</v>
      </c>
      <c r="Q153" s="764">
        <f t="shared" si="106"/>
        <v>2.1055589221881443</v>
      </c>
      <c r="R153" s="847">
        <f t="shared" si="106"/>
        <v>2.2108368682975517</v>
      </c>
      <c r="S153" s="761">
        <f t="shared" si="106"/>
        <v>2.3213787117124292</v>
      </c>
      <c r="T153" s="761">
        <f t="shared" si="106"/>
        <v>2.4374476472980504</v>
      </c>
    </row>
    <row r="154" spans="1:20" ht="16" thickBot="1">
      <c r="A154" s="441" t="s">
        <v>1072</v>
      </c>
      <c r="B154" s="1113">
        <v>0.96</v>
      </c>
      <c r="C154" s="1109"/>
      <c r="D154" s="477">
        <v>6.25E-2</v>
      </c>
      <c r="E154" s="800">
        <v>1.1499999999999999</v>
      </c>
      <c r="F154" s="338">
        <v>6.9000000000000006E-2</v>
      </c>
      <c r="G154" s="478">
        <f t="shared" si="97"/>
        <v>7.9350000000000004E-2</v>
      </c>
      <c r="H154" s="449">
        <f t="shared" si="98"/>
        <v>1.2293499999999999</v>
      </c>
      <c r="I154" s="338">
        <v>6.9000000000000006E-2</v>
      </c>
      <c r="J154" s="443">
        <f t="shared" si="99"/>
        <v>8.4825150000000002E-2</v>
      </c>
      <c r="K154" s="449">
        <f t="shared" si="100"/>
        <v>1.3141751499999998</v>
      </c>
      <c r="L154" s="449">
        <f t="shared" ref="L154" si="111">K154*5.3%+K154</f>
        <v>1.3838264329499999</v>
      </c>
      <c r="M154" s="449">
        <f t="shared" si="102"/>
        <v>1.4585530603292998</v>
      </c>
      <c r="N154" s="449">
        <f t="shared" si="103"/>
        <v>1.6044083663622297</v>
      </c>
      <c r="O154" s="764">
        <f t="shared" si="104"/>
        <v>1.6846287846803412</v>
      </c>
      <c r="P154" s="764">
        <f t="shared" si="105"/>
        <v>1.7739141102683993</v>
      </c>
      <c r="Q154" s="764">
        <f t="shared" si="106"/>
        <v>1.8626098157818192</v>
      </c>
      <c r="R154" s="847">
        <f t="shared" si="106"/>
        <v>1.95574030657091</v>
      </c>
      <c r="S154" s="761">
        <f t="shared" si="106"/>
        <v>2.0535273218994554</v>
      </c>
      <c r="T154" s="761">
        <f t="shared" si="106"/>
        <v>2.1562036879944282</v>
      </c>
    </row>
    <row r="155" spans="1:20" ht="16" thickBot="1">
      <c r="A155" s="441" t="s">
        <v>1073</v>
      </c>
      <c r="B155" s="1113">
        <v>0.9</v>
      </c>
      <c r="C155" s="1109"/>
      <c r="D155" s="477">
        <v>6.25E-2</v>
      </c>
      <c r="E155" s="800">
        <v>1.0900000000000001</v>
      </c>
      <c r="F155" s="338">
        <v>6.9000000000000006E-2</v>
      </c>
      <c r="G155" s="478">
        <f t="shared" si="97"/>
        <v>7.5210000000000013E-2</v>
      </c>
      <c r="H155" s="449">
        <f t="shared" si="98"/>
        <v>1.1652100000000001</v>
      </c>
      <c r="I155" s="338">
        <v>6.9000000000000006E-2</v>
      </c>
      <c r="J155" s="443">
        <f t="shared" si="99"/>
        <v>8.0399490000000018E-2</v>
      </c>
      <c r="K155" s="449">
        <f t="shared" si="100"/>
        <v>1.2456094900000001</v>
      </c>
      <c r="L155" s="449">
        <f t="shared" ref="L155" si="112">K155*5.3%+K155</f>
        <v>1.3116267929700001</v>
      </c>
      <c r="M155" s="449">
        <f t="shared" si="102"/>
        <v>1.3824546397903801</v>
      </c>
      <c r="N155" s="449">
        <f t="shared" si="103"/>
        <v>1.5207001037694181</v>
      </c>
      <c r="O155" s="764">
        <f t="shared" si="104"/>
        <v>1.5967351089578889</v>
      </c>
      <c r="P155" s="764">
        <f t="shared" si="105"/>
        <v>1.681362069732657</v>
      </c>
      <c r="Q155" s="764">
        <f t="shared" si="106"/>
        <v>1.7654301732192899</v>
      </c>
      <c r="R155" s="847">
        <f t="shared" si="106"/>
        <v>1.8537016818802543</v>
      </c>
      <c r="S155" s="761">
        <f t="shared" si="106"/>
        <v>1.9463867659742671</v>
      </c>
      <c r="T155" s="761">
        <f t="shared" si="106"/>
        <v>2.0437061042729803</v>
      </c>
    </row>
    <row r="156" spans="1:20" ht="16" thickBot="1">
      <c r="A156" s="441" t="s">
        <v>1074</v>
      </c>
      <c r="B156" s="1113">
        <v>0.78</v>
      </c>
      <c r="C156" s="1109"/>
      <c r="D156" s="477">
        <v>6.25E-2</v>
      </c>
      <c r="E156" s="800">
        <v>0.94</v>
      </c>
      <c r="F156" s="338">
        <v>6.9000000000000006E-2</v>
      </c>
      <c r="G156" s="478">
        <f t="shared" si="97"/>
        <v>6.4860000000000001E-2</v>
      </c>
      <c r="H156" s="449">
        <f t="shared" si="98"/>
        <v>1.0048599999999999</v>
      </c>
      <c r="I156" s="338">
        <v>6.9000000000000006E-2</v>
      </c>
      <c r="J156" s="443">
        <f t="shared" si="99"/>
        <v>6.9335339999999995E-2</v>
      </c>
      <c r="K156" s="449">
        <f t="shared" si="100"/>
        <v>1.0741953399999999</v>
      </c>
      <c r="L156" s="449">
        <f t="shared" ref="L156" si="113">K156*5.3%+K156</f>
        <v>1.1311276930199998</v>
      </c>
      <c r="M156" s="449">
        <f t="shared" si="102"/>
        <v>1.1922085884430798</v>
      </c>
      <c r="N156" s="449">
        <f t="shared" si="103"/>
        <v>1.3114294472873878</v>
      </c>
      <c r="O156" s="764">
        <f t="shared" si="104"/>
        <v>1.3770009196517572</v>
      </c>
      <c r="P156" s="764">
        <f t="shared" si="105"/>
        <v>1.4499819683933004</v>
      </c>
      <c r="Q156" s="764">
        <f t="shared" si="106"/>
        <v>1.5224810668129654</v>
      </c>
      <c r="R156" s="847">
        <f t="shared" si="106"/>
        <v>1.5986051201536136</v>
      </c>
      <c r="S156" s="761">
        <f t="shared" si="106"/>
        <v>1.6785353761612942</v>
      </c>
      <c r="T156" s="761">
        <f t="shared" si="106"/>
        <v>1.7624621449693589</v>
      </c>
    </row>
    <row r="157" spans="1:20" ht="16" thickBot="1">
      <c r="A157" s="441" t="s">
        <v>1075</v>
      </c>
      <c r="B157" s="1113">
        <v>0.66</v>
      </c>
      <c r="C157" s="1109"/>
      <c r="D157" s="477">
        <v>6.25E-2</v>
      </c>
      <c r="E157" s="800">
        <v>0.8</v>
      </c>
      <c r="F157" s="338">
        <v>6.9000000000000006E-2</v>
      </c>
      <c r="G157" s="478">
        <f t="shared" si="97"/>
        <v>5.5200000000000006E-2</v>
      </c>
      <c r="H157" s="449">
        <f t="shared" si="98"/>
        <v>0.85520000000000007</v>
      </c>
      <c r="I157" s="338">
        <v>6.9000000000000006E-2</v>
      </c>
      <c r="J157" s="443">
        <f t="shared" si="99"/>
        <v>5.9008800000000007E-2</v>
      </c>
      <c r="K157" s="449">
        <f t="shared" si="100"/>
        <v>0.91420880000000004</v>
      </c>
      <c r="L157" s="449">
        <f t="shared" ref="L157" si="114">K157*5.3%+K157</f>
        <v>0.96266186640000007</v>
      </c>
      <c r="M157" s="449">
        <f t="shared" si="102"/>
        <v>1.0146456071856</v>
      </c>
      <c r="N157" s="449">
        <f t="shared" si="103"/>
        <v>1.1161101679041601</v>
      </c>
      <c r="O157" s="764">
        <f t="shared" si="104"/>
        <v>1.1719156762993681</v>
      </c>
      <c r="P157" s="764">
        <f t="shared" si="105"/>
        <v>1.2340272071432346</v>
      </c>
      <c r="Q157" s="764">
        <f t="shared" si="106"/>
        <v>1.2957285675003962</v>
      </c>
      <c r="R157" s="847">
        <f t="shared" si="106"/>
        <v>1.3605149958754161</v>
      </c>
      <c r="S157" s="761">
        <f t="shared" si="106"/>
        <v>1.428540745669187</v>
      </c>
      <c r="T157" s="761">
        <f t="shared" si="106"/>
        <v>1.4999677829526463</v>
      </c>
    </row>
    <row r="158" spans="1:20" ht="16" thickBot="1">
      <c r="A158" s="441" t="s">
        <v>1076</v>
      </c>
      <c r="B158" s="1113">
        <v>0.56999999999999995</v>
      </c>
      <c r="C158" s="1109"/>
      <c r="D158" s="477">
        <v>6.25E-2</v>
      </c>
      <c r="E158" s="800">
        <v>0.68</v>
      </c>
      <c r="F158" s="338">
        <v>6.9000000000000006E-2</v>
      </c>
      <c r="G158" s="478">
        <f t="shared" si="97"/>
        <v>4.692000000000001E-2</v>
      </c>
      <c r="H158" s="449">
        <f t="shared" si="98"/>
        <v>0.72692000000000001</v>
      </c>
      <c r="I158" s="338">
        <v>6.9000000000000006E-2</v>
      </c>
      <c r="J158" s="443">
        <f t="shared" si="99"/>
        <v>5.0157480000000004E-2</v>
      </c>
      <c r="K158" s="449">
        <f t="shared" si="100"/>
        <v>0.77707747999999999</v>
      </c>
      <c r="L158" s="449">
        <f t="shared" ref="L158" si="115">K158*5.3%+K158</f>
        <v>0.81826258643999994</v>
      </c>
      <c r="M158" s="449">
        <f t="shared" si="102"/>
        <v>0.86244876610775989</v>
      </c>
      <c r="N158" s="449">
        <f t="shared" si="103"/>
        <v>0.94869364271853585</v>
      </c>
      <c r="O158" s="764">
        <f t="shared" si="104"/>
        <v>0.99612832485446268</v>
      </c>
      <c r="P158" s="764">
        <f t="shared" si="105"/>
        <v>1.0489231260717491</v>
      </c>
      <c r="Q158" s="764">
        <f t="shared" si="106"/>
        <v>1.1013692823753365</v>
      </c>
      <c r="R158" s="847">
        <f t="shared" si="106"/>
        <v>1.1564377464941034</v>
      </c>
      <c r="S158" s="761">
        <f t="shared" si="106"/>
        <v>1.2142596338188085</v>
      </c>
      <c r="T158" s="761">
        <f t="shared" si="106"/>
        <v>1.2749726155097489</v>
      </c>
    </row>
    <row r="159" spans="1:20" ht="16" thickBot="1">
      <c r="A159" s="1097" t="s">
        <v>1077</v>
      </c>
      <c r="B159" s="1098"/>
      <c r="C159" s="1098"/>
      <c r="D159" s="480"/>
      <c r="E159" s="795"/>
      <c r="F159" s="480"/>
      <c r="H159" s="475"/>
      <c r="I159" s="439"/>
      <c r="J159" s="440"/>
      <c r="K159" s="475"/>
      <c r="L159" s="475"/>
      <c r="M159" s="475"/>
      <c r="N159" s="475"/>
      <c r="O159" s="770"/>
      <c r="P159" s="770"/>
      <c r="Q159" s="770"/>
      <c r="R159" s="847"/>
      <c r="S159" s="761"/>
      <c r="T159" s="761"/>
    </row>
    <row r="160" spans="1:20" ht="16" thickBot="1">
      <c r="A160" s="441" t="s">
        <v>1078</v>
      </c>
      <c r="B160" s="1113">
        <v>1.45</v>
      </c>
      <c r="C160" s="1109"/>
      <c r="D160" s="477">
        <v>6.25E-2</v>
      </c>
      <c r="E160" s="800">
        <v>1.75</v>
      </c>
      <c r="F160" s="338">
        <v>6.9000000000000006E-2</v>
      </c>
      <c r="G160" s="478">
        <f t="shared" ref="G160:G171" si="116">E160*F160</f>
        <v>0.12075000000000001</v>
      </c>
      <c r="H160" s="449">
        <f t="shared" ref="H160:H171" si="117">E160+G160</f>
        <v>1.8707499999999999</v>
      </c>
      <c r="I160" s="338">
        <v>6.9000000000000006E-2</v>
      </c>
      <c r="J160" s="443">
        <f t="shared" ref="J160:J171" si="118">H160*I160</f>
        <v>0.12908175</v>
      </c>
      <c r="K160" s="449">
        <f t="shared" ref="K160:K171" si="119">H160+J160</f>
        <v>1.9998317499999998</v>
      </c>
      <c r="L160" s="449">
        <f t="shared" ref="L160" si="120">K160*5.3%+K160</f>
        <v>2.1058228327499999</v>
      </c>
      <c r="M160" s="449">
        <f t="shared" ref="M160:M171" si="121">L160*5.4%+L160</f>
        <v>2.2195372657185</v>
      </c>
      <c r="N160" s="449">
        <f t="shared" ref="N160:N171" si="122">M160*10%+M160</f>
        <v>2.4414909922903498</v>
      </c>
      <c r="O160" s="764">
        <f t="shared" ref="O160:O171" si="123">N160*5%+N160</f>
        <v>2.5635655419048673</v>
      </c>
      <c r="P160" s="764">
        <f t="shared" ref="P160:P176" si="124">O160+O160*5.3%</f>
        <v>2.6994345156258253</v>
      </c>
      <c r="Q160" s="764">
        <f t="shared" ref="Q160:T176" si="125">P160+P160*5%</f>
        <v>2.8344062414071165</v>
      </c>
      <c r="R160" s="847">
        <f t="shared" si="125"/>
        <v>2.9761265534774721</v>
      </c>
      <c r="S160" s="761">
        <f t="shared" si="125"/>
        <v>3.1249328811513459</v>
      </c>
      <c r="T160" s="761">
        <f t="shared" si="125"/>
        <v>3.2811795252089131</v>
      </c>
    </row>
    <row r="161" spans="1:20" ht="16" thickBot="1">
      <c r="A161" s="441" t="s">
        <v>1068</v>
      </c>
      <c r="B161" s="1113">
        <v>1.33</v>
      </c>
      <c r="C161" s="1109"/>
      <c r="D161" s="477">
        <v>6.25E-2</v>
      </c>
      <c r="E161" s="800">
        <v>1.6</v>
      </c>
      <c r="F161" s="338">
        <v>6.9000000000000006E-2</v>
      </c>
      <c r="G161" s="478">
        <f t="shared" si="116"/>
        <v>0.11040000000000001</v>
      </c>
      <c r="H161" s="449">
        <f t="shared" si="117"/>
        <v>1.7104000000000001</v>
      </c>
      <c r="I161" s="338">
        <v>6.9000000000000006E-2</v>
      </c>
      <c r="J161" s="443">
        <f t="shared" si="118"/>
        <v>0.11801760000000001</v>
      </c>
      <c r="K161" s="449">
        <f t="shared" si="119"/>
        <v>1.8284176000000001</v>
      </c>
      <c r="L161" s="449">
        <f t="shared" ref="L161" si="126">K161*5.3%+K161</f>
        <v>1.9253237328000001</v>
      </c>
      <c r="M161" s="449">
        <f t="shared" si="121"/>
        <v>2.0292912143712001</v>
      </c>
      <c r="N161" s="449">
        <f t="shared" si="122"/>
        <v>2.2322203358083201</v>
      </c>
      <c r="O161" s="764">
        <f t="shared" si="123"/>
        <v>2.3438313525987362</v>
      </c>
      <c r="P161" s="764">
        <f t="shared" si="124"/>
        <v>2.4680544142864691</v>
      </c>
      <c r="Q161" s="764">
        <f t="shared" si="125"/>
        <v>2.5914571350007924</v>
      </c>
      <c r="R161" s="847">
        <f t="shared" si="125"/>
        <v>2.7210299917508323</v>
      </c>
      <c r="S161" s="761">
        <f t="shared" si="125"/>
        <v>2.857081491338374</v>
      </c>
      <c r="T161" s="761">
        <f t="shared" si="125"/>
        <v>2.9999355659052926</v>
      </c>
    </row>
    <row r="162" spans="1:20" ht="16" thickBot="1">
      <c r="A162" s="441" t="s">
        <v>1079</v>
      </c>
      <c r="B162" s="1113">
        <v>1.26</v>
      </c>
      <c r="C162" s="1109"/>
      <c r="D162" s="477">
        <v>6.25E-2</v>
      </c>
      <c r="E162" s="800">
        <v>1.52</v>
      </c>
      <c r="F162" s="338">
        <v>6.9000000000000006E-2</v>
      </c>
      <c r="G162" s="478">
        <f t="shared" si="116"/>
        <v>0.10488000000000001</v>
      </c>
      <c r="H162" s="449">
        <f t="shared" si="117"/>
        <v>1.6248800000000001</v>
      </c>
      <c r="I162" s="338">
        <v>6.9000000000000006E-2</v>
      </c>
      <c r="J162" s="443">
        <f t="shared" si="118"/>
        <v>0.11211672000000002</v>
      </c>
      <c r="K162" s="449">
        <f t="shared" si="119"/>
        <v>1.73699672</v>
      </c>
      <c r="L162" s="449">
        <f t="shared" ref="L162" si="127">K162*5.3%+K162</f>
        <v>1.82905754616</v>
      </c>
      <c r="M162" s="449">
        <f t="shared" si="121"/>
        <v>1.9278266536526401</v>
      </c>
      <c r="N162" s="449">
        <f t="shared" si="122"/>
        <v>2.1206093190179041</v>
      </c>
      <c r="O162" s="764">
        <f t="shared" si="123"/>
        <v>2.2266397849687993</v>
      </c>
      <c r="P162" s="764">
        <f t="shared" si="124"/>
        <v>2.3446516935721458</v>
      </c>
      <c r="Q162" s="764">
        <f t="shared" si="125"/>
        <v>2.4618842782507531</v>
      </c>
      <c r="R162" s="847">
        <f t="shared" si="125"/>
        <v>2.5849784921632906</v>
      </c>
      <c r="S162" s="761">
        <f t="shared" si="125"/>
        <v>2.7142274167714553</v>
      </c>
      <c r="T162" s="761">
        <f t="shared" si="125"/>
        <v>2.8499387876100282</v>
      </c>
    </row>
    <row r="163" spans="1:20" ht="16" thickBot="1">
      <c r="A163" s="441" t="s">
        <v>1070</v>
      </c>
      <c r="B163" s="1113">
        <v>1.21</v>
      </c>
      <c r="C163" s="1109"/>
      <c r="D163" s="477">
        <v>6.25E-2</v>
      </c>
      <c r="E163" s="800">
        <v>1.46</v>
      </c>
      <c r="F163" s="338">
        <v>6.9000000000000006E-2</v>
      </c>
      <c r="G163" s="478">
        <f t="shared" si="116"/>
        <v>0.10074000000000001</v>
      </c>
      <c r="H163" s="449">
        <f t="shared" si="117"/>
        <v>1.56074</v>
      </c>
      <c r="I163" s="338">
        <v>6.9000000000000006E-2</v>
      </c>
      <c r="J163" s="443">
        <f t="shared" si="118"/>
        <v>0.10769106000000001</v>
      </c>
      <c r="K163" s="449">
        <f t="shared" si="119"/>
        <v>1.6684310600000001</v>
      </c>
      <c r="L163" s="449">
        <f t="shared" ref="L163" si="128">K163*5.3%+K163</f>
        <v>1.75685790618</v>
      </c>
      <c r="M163" s="449">
        <f t="shared" si="121"/>
        <v>1.8517282331137201</v>
      </c>
      <c r="N163" s="449">
        <f t="shared" si="122"/>
        <v>2.036901056425092</v>
      </c>
      <c r="O163" s="764">
        <f t="shared" si="123"/>
        <v>2.1387461092463464</v>
      </c>
      <c r="P163" s="764">
        <f t="shared" si="124"/>
        <v>2.252099653036403</v>
      </c>
      <c r="Q163" s="764">
        <f t="shared" si="125"/>
        <v>2.3647046356882231</v>
      </c>
      <c r="R163" s="847">
        <f t="shared" si="125"/>
        <v>2.4829398674726342</v>
      </c>
      <c r="S163" s="761">
        <f t="shared" si="125"/>
        <v>2.6070868608462661</v>
      </c>
      <c r="T163" s="761">
        <f t="shared" si="125"/>
        <v>2.7374412038885794</v>
      </c>
    </row>
    <row r="164" spans="1:20" ht="16" thickBot="1">
      <c r="A164" s="441" t="s">
        <v>1071</v>
      </c>
      <c r="B164" s="1113">
        <v>1.08</v>
      </c>
      <c r="C164" s="1109"/>
      <c r="D164" s="477">
        <v>6.25E-2</v>
      </c>
      <c r="E164" s="800">
        <v>1.3</v>
      </c>
      <c r="F164" s="338">
        <v>6.9000000000000006E-2</v>
      </c>
      <c r="G164" s="478">
        <f t="shared" si="116"/>
        <v>8.9700000000000016E-2</v>
      </c>
      <c r="H164" s="449">
        <f t="shared" si="117"/>
        <v>1.3897000000000002</v>
      </c>
      <c r="I164" s="338">
        <v>6.9000000000000006E-2</v>
      </c>
      <c r="J164" s="443">
        <f t="shared" si="118"/>
        <v>9.5889300000000025E-2</v>
      </c>
      <c r="K164" s="449">
        <f t="shared" si="119"/>
        <v>1.4855893000000002</v>
      </c>
      <c r="L164" s="449">
        <f t="shared" ref="L164" si="129">K164*5.3%+K164</f>
        <v>1.5643255329000003</v>
      </c>
      <c r="M164" s="449">
        <f t="shared" si="121"/>
        <v>1.6487991116766003</v>
      </c>
      <c r="N164" s="449">
        <f t="shared" si="122"/>
        <v>1.8136790228442603</v>
      </c>
      <c r="O164" s="764">
        <f t="shared" si="123"/>
        <v>1.9043629739864734</v>
      </c>
      <c r="P164" s="764">
        <f t="shared" si="124"/>
        <v>2.0052942116077563</v>
      </c>
      <c r="Q164" s="764">
        <f t="shared" si="125"/>
        <v>2.1055589221881443</v>
      </c>
      <c r="R164" s="847">
        <f t="shared" si="125"/>
        <v>2.2108368682975517</v>
      </c>
      <c r="S164" s="761">
        <f t="shared" si="125"/>
        <v>2.3213787117124292</v>
      </c>
      <c r="T164" s="761">
        <f t="shared" si="125"/>
        <v>2.4374476472980504</v>
      </c>
    </row>
    <row r="165" spans="1:20" ht="16" thickBot="1">
      <c r="A165" s="441" t="s">
        <v>1080</v>
      </c>
      <c r="B165" s="1113">
        <v>0.96</v>
      </c>
      <c r="C165" s="1109"/>
      <c r="D165" s="477">
        <v>6.25E-2</v>
      </c>
      <c r="E165" s="800">
        <v>1.1499999999999999</v>
      </c>
      <c r="F165" s="338">
        <v>6.9000000000000006E-2</v>
      </c>
      <c r="G165" s="478">
        <f t="shared" si="116"/>
        <v>7.9350000000000004E-2</v>
      </c>
      <c r="H165" s="449">
        <f t="shared" si="117"/>
        <v>1.2293499999999999</v>
      </c>
      <c r="I165" s="338">
        <v>6.9000000000000006E-2</v>
      </c>
      <c r="J165" s="443">
        <f t="shared" si="118"/>
        <v>8.4825150000000002E-2</v>
      </c>
      <c r="K165" s="449">
        <f t="shared" si="119"/>
        <v>1.3141751499999998</v>
      </c>
      <c r="L165" s="449">
        <f t="shared" ref="L165" si="130">K165*5.3%+K165</f>
        <v>1.3838264329499999</v>
      </c>
      <c r="M165" s="449">
        <f t="shared" si="121"/>
        <v>1.4585530603292998</v>
      </c>
      <c r="N165" s="449">
        <f t="shared" si="122"/>
        <v>1.6044083663622297</v>
      </c>
      <c r="O165" s="764">
        <f t="shared" si="123"/>
        <v>1.6846287846803412</v>
      </c>
      <c r="P165" s="764">
        <f t="shared" si="124"/>
        <v>1.7739141102683993</v>
      </c>
      <c r="Q165" s="764">
        <f t="shared" si="125"/>
        <v>1.8626098157818192</v>
      </c>
      <c r="R165" s="847">
        <f t="shared" si="125"/>
        <v>1.95574030657091</v>
      </c>
      <c r="S165" s="761">
        <f t="shared" si="125"/>
        <v>2.0535273218994554</v>
      </c>
      <c r="T165" s="761">
        <f t="shared" si="125"/>
        <v>2.1562036879944282</v>
      </c>
    </row>
    <row r="166" spans="1:20" ht="16" thickBot="1">
      <c r="A166" s="441" t="s">
        <v>1073</v>
      </c>
      <c r="B166" s="1113">
        <v>0.9</v>
      </c>
      <c r="C166" s="1109"/>
      <c r="D166" s="477">
        <v>6.25E-2</v>
      </c>
      <c r="E166" s="800">
        <v>1.0900000000000001</v>
      </c>
      <c r="F166" s="338">
        <v>6.9000000000000006E-2</v>
      </c>
      <c r="G166" s="478">
        <f t="shared" si="116"/>
        <v>7.5210000000000013E-2</v>
      </c>
      <c r="H166" s="449">
        <f t="shared" si="117"/>
        <v>1.1652100000000001</v>
      </c>
      <c r="I166" s="338">
        <v>6.9000000000000006E-2</v>
      </c>
      <c r="J166" s="443">
        <f t="shared" si="118"/>
        <v>8.0399490000000018E-2</v>
      </c>
      <c r="K166" s="449">
        <f t="shared" si="119"/>
        <v>1.2456094900000001</v>
      </c>
      <c r="L166" s="449">
        <f t="shared" ref="L166" si="131">K166*5.3%+K166</f>
        <v>1.3116267929700001</v>
      </c>
      <c r="M166" s="449">
        <f t="shared" si="121"/>
        <v>1.3824546397903801</v>
      </c>
      <c r="N166" s="449">
        <f t="shared" si="122"/>
        <v>1.5207001037694181</v>
      </c>
      <c r="O166" s="764">
        <f t="shared" si="123"/>
        <v>1.5967351089578889</v>
      </c>
      <c r="P166" s="764">
        <f t="shared" si="124"/>
        <v>1.681362069732657</v>
      </c>
      <c r="Q166" s="764">
        <f t="shared" si="125"/>
        <v>1.7654301732192899</v>
      </c>
      <c r="R166" s="847">
        <f t="shared" si="125"/>
        <v>1.8537016818802543</v>
      </c>
      <c r="S166" s="761">
        <f t="shared" si="125"/>
        <v>1.9463867659742671</v>
      </c>
      <c r="T166" s="761">
        <f t="shared" si="125"/>
        <v>2.0437061042729803</v>
      </c>
    </row>
    <row r="167" spans="1:20" ht="16" thickBot="1">
      <c r="A167" s="441" t="s">
        <v>1074</v>
      </c>
      <c r="B167" s="1113">
        <v>0.78</v>
      </c>
      <c r="C167" s="1109"/>
      <c r="D167" s="477">
        <v>6.25E-2</v>
      </c>
      <c r="E167" s="800">
        <v>0.94</v>
      </c>
      <c r="F167" s="338">
        <v>6.9000000000000006E-2</v>
      </c>
      <c r="G167" s="478">
        <f t="shared" si="116"/>
        <v>6.4860000000000001E-2</v>
      </c>
      <c r="H167" s="449">
        <f t="shared" si="117"/>
        <v>1.0048599999999999</v>
      </c>
      <c r="I167" s="338">
        <v>6.9000000000000006E-2</v>
      </c>
      <c r="J167" s="443">
        <f t="shared" si="118"/>
        <v>6.9335339999999995E-2</v>
      </c>
      <c r="K167" s="449">
        <f t="shared" si="119"/>
        <v>1.0741953399999999</v>
      </c>
      <c r="L167" s="449">
        <f t="shared" ref="L167" si="132">K167*5.3%+K167</f>
        <v>1.1311276930199998</v>
      </c>
      <c r="M167" s="449">
        <f t="shared" si="121"/>
        <v>1.1922085884430798</v>
      </c>
      <c r="N167" s="449">
        <f t="shared" si="122"/>
        <v>1.3114294472873878</v>
      </c>
      <c r="O167" s="764">
        <f t="shared" si="123"/>
        <v>1.3770009196517572</v>
      </c>
      <c r="P167" s="764">
        <f t="shared" si="124"/>
        <v>1.4499819683933004</v>
      </c>
      <c r="Q167" s="764">
        <f t="shared" si="125"/>
        <v>1.5224810668129654</v>
      </c>
      <c r="R167" s="847">
        <f t="shared" si="125"/>
        <v>1.5986051201536136</v>
      </c>
      <c r="S167" s="761">
        <f t="shared" si="125"/>
        <v>1.6785353761612942</v>
      </c>
      <c r="T167" s="761">
        <f t="shared" si="125"/>
        <v>1.7624621449693589</v>
      </c>
    </row>
    <row r="168" spans="1:20" ht="16" thickBot="1">
      <c r="A168" s="441" t="s">
        <v>1081</v>
      </c>
      <c r="B168" s="1113">
        <v>0.66</v>
      </c>
      <c r="C168" s="1109"/>
      <c r="D168" s="477">
        <v>6.25E-2</v>
      </c>
      <c r="E168" s="800">
        <v>0.8</v>
      </c>
      <c r="F168" s="338">
        <v>6.9000000000000006E-2</v>
      </c>
      <c r="G168" s="478">
        <f t="shared" si="116"/>
        <v>5.5200000000000006E-2</v>
      </c>
      <c r="H168" s="449">
        <f t="shared" si="117"/>
        <v>0.85520000000000007</v>
      </c>
      <c r="I168" s="338">
        <v>6.9000000000000006E-2</v>
      </c>
      <c r="J168" s="443">
        <f t="shared" si="118"/>
        <v>5.9008800000000007E-2</v>
      </c>
      <c r="K168" s="449">
        <f t="shared" si="119"/>
        <v>0.91420880000000004</v>
      </c>
      <c r="L168" s="449">
        <f t="shared" ref="L168" si="133">K168*5.3%+K168</f>
        <v>0.96266186640000007</v>
      </c>
      <c r="M168" s="449">
        <f t="shared" si="121"/>
        <v>1.0146456071856</v>
      </c>
      <c r="N168" s="449">
        <f t="shared" si="122"/>
        <v>1.1161101679041601</v>
      </c>
      <c r="O168" s="764">
        <f t="shared" si="123"/>
        <v>1.1719156762993681</v>
      </c>
      <c r="P168" s="764">
        <f t="shared" si="124"/>
        <v>1.2340272071432346</v>
      </c>
      <c r="Q168" s="764">
        <f t="shared" si="125"/>
        <v>1.2957285675003962</v>
      </c>
      <c r="R168" s="847">
        <f t="shared" si="125"/>
        <v>1.3605149958754161</v>
      </c>
      <c r="S168" s="761">
        <f t="shared" si="125"/>
        <v>1.428540745669187</v>
      </c>
      <c r="T168" s="761">
        <f t="shared" si="125"/>
        <v>1.4999677829526463</v>
      </c>
    </row>
    <row r="169" spans="1:20" ht="16" thickBot="1">
      <c r="A169" s="441" t="s">
        <v>1082</v>
      </c>
      <c r="B169" s="1113">
        <v>0.56999999999999995</v>
      </c>
      <c r="C169" s="1109"/>
      <c r="D169" s="477">
        <v>6.25E-2</v>
      </c>
      <c r="E169" s="800">
        <v>0.68</v>
      </c>
      <c r="F169" s="338">
        <v>6.9000000000000006E-2</v>
      </c>
      <c r="G169" s="478">
        <f t="shared" si="116"/>
        <v>4.692000000000001E-2</v>
      </c>
      <c r="H169" s="449">
        <f t="shared" si="117"/>
        <v>0.72692000000000001</v>
      </c>
      <c r="I169" s="338">
        <v>6.9000000000000006E-2</v>
      </c>
      <c r="J169" s="443">
        <f t="shared" si="118"/>
        <v>5.0157480000000004E-2</v>
      </c>
      <c r="K169" s="449">
        <f t="shared" si="119"/>
        <v>0.77707747999999999</v>
      </c>
      <c r="L169" s="449">
        <f t="shared" ref="L169" si="134">K169*5.3%+K169</f>
        <v>0.81826258643999994</v>
      </c>
      <c r="M169" s="449">
        <f t="shared" si="121"/>
        <v>0.86244876610775989</v>
      </c>
      <c r="N169" s="449">
        <f t="shared" si="122"/>
        <v>0.94869364271853585</v>
      </c>
      <c r="O169" s="764">
        <f t="shared" si="123"/>
        <v>0.99612832485446268</v>
      </c>
      <c r="P169" s="764">
        <f t="shared" si="124"/>
        <v>1.0489231260717491</v>
      </c>
      <c r="Q169" s="764">
        <f t="shared" si="125"/>
        <v>1.1013692823753365</v>
      </c>
      <c r="R169" s="847">
        <f t="shared" si="125"/>
        <v>1.1564377464941034</v>
      </c>
      <c r="S169" s="761">
        <f t="shared" si="125"/>
        <v>1.2142596338188085</v>
      </c>
      <c r="T169" s="761">
        <f t="shared" si="125"/>
        <v>1.2749726155097489</v>
      </c>
    </row>
    <row r="170" spans="1:20" ht="16" thickBot="1">
      <c r="A170" s="500" t="s">
        <v>1083</v>
      </c>
      <c r="B170" s="1108" t="s">
        <v>1084</v>
      </c>
      <c r="C170" s="1109"/>
      <c r="D170" s="477">
        <v>6.25E-2</v>
      </c>
      <c r="E170" s="800">
        <v>204.44</v>
      </c>
      <c r="F170" s="338">
        <v>6.9000000000000006E-2</v>
      </c>
      <c r="G170" s="478">
        <f t="shared" si="116"/>
        <v>14.10636</v>
      </c>
      <c r="H170" s="449">
        <f t="shared" si="117"/>
        <v>218.54635999999999</v>
      </c>
      <c r="I170" s="338">
        <v>6.9000000000000006E-2</v>
      </c>
      <c r="J170" s="443">
        <f t="shared" si="118"/>
        <v>15.079698840000001</v>
      </c>
      <c r="K170" s="449">
        <f t="shared" si="119"/>
        <v>233.62605883999998</v>
      </c>
      <c r="L170" s="449">
        <f t="shared" ref="L170" si="135">K170*5.3%+K170</f>
        <v>246.00823995851999</v>
      </c>
      <c r="M170" s="449">
        <f t="shared" si="121"/>
        <v>259.29268491628005</v>
      </c>
      <c r="N170" s="449">
        <f t="shared" si="122"/>
        <v>285.22195340790807</v>
      </c>
      <c r="O170" s="764">
        <f t="shared" si="123"/>
        <v>299.4830510783035</v>
      </c>
      <c r="P170" s="764">
        <f t="shared" si="124"/>
        <v>315.35565278545357</v>
      </c>
      <c r="Q170" s="764">
        <f t="shared" si="125"/>
        <v>331.12343542472627</v>
      </c>
      <c r="R170" s="847">
        <f t="shared" si="125"/>
        <v>347.6796071959626</v>
      </c>
      <c r="S170" s="761">
        <f t="shared" si="125"/>
        <v>365.06358755576071</v>
      </c>
      <c r="T170" s="761">
        <f t="shared" si="125"/>
        <v>383.31676693354876</v>
      </c>
    </row>
    <row r="171" spans="1:20" ht="16" thickBot="1">
      <c r="A171" s="494" t="s">
        <v>1085</v>
      </c>
      <c r="B171" s="1077" t="s">
        <v>1084</v>
      </c>
      <c r="C171" s="1116"/>
      <c r="D171" s="485">
        <v>6.25E-2</v>
      </c>
      <c r="E171" s="801">
        <v>204.44</v>
      </c>
      <c r="F171" s="338">
        <v>6.9000000000000006E-2</v>
      </c>
      <c r="G171" s="478">
        <f t="shared" si="116"/>
        <v>14.10636</v>
      </c>
      <c r="H171" s="487">
        <f t="shared" si="117"/>
        <v>218.54635999999999</v>
      </c>
      <c r="I171" s="338">
        <v>6.9000000000000006E-2</v>
      </c>
      <c r="J171" s="452">
        <f t="shared" si="118"/>
        <v>15.079698840000001</v>
      </c>
      <c r="K171" s="487">
        <f t="shared" si="119"/>
        <v>233.62605883999998</v>
      </c>
      <c r="L171" s="487">
        <f t="shared" ref="L171" si="136">K171*5.3%+K171</f>
        <v>246.00823995851999</v>
      </c>
      <c r="M171" s="487">
        <f t="shared" si="121"/>
        <v>259.29268491628005</v>
      </c>
      <c r="N171" s="487">
        <f t="shared" si="122"/>
        <v>285.22195340790807</v>
      </c>
      <c r="O171" s="638">
        <f t="shared" si="123"/>
        <v>299.4830510783035</v>
      </c>
      <c r="P171" s="638">
        <f t="shared" si="124"/>
        <v>315.35565278545357</v>
      </c>
      <c r="Q171" s="638">
        <f t="shared" si="125"/>
        <v>331.12343542472627</v>
      </c>
      <c r="R171" s="842">
        <f t="shared" si="125"/>
        <v>347.6796071959626</v>
      </c>
      <c r="S171" s="761">
        <f t="shared" si="125"/>
        <v>365.06358755576071</v>
      </c>
      <c r="T171" s="761">
        <f t="shared" si="125"/>
        <v>383.31676693354876</v>
      </c>
    </row>
    <row r="172" spans="1:20">
      <c r="A172" s="1121" t="s">
        <v>1086</v>
      </c>
      <c r="B172" s="1122"/>
      <c r="C172" s="1122"/>
      <c r="D172" s="517"/>
      <c r="E172" s="802"/>
      <c r="F172" s="517"/>
      <c r="G172" s="518"/>
      <c r="H172" s="519"/>
      <c r="I172" s="517"/>
      <c r="J172" s="360"/>
      <c r="K172" s="520"/>
      <c r="L172" s="520"/>
      <c r="M172" s="520"/>
      <c r="N172" s="520"/>
      <c r="O172" s="519"/>
      <c r="P172" s="519">
        <f t="shared" si="124"/>
        <v>0</v>
      </c>
      <c r="Q172" s="519">
        <f t="shared" si="125"/>
        <v>0</v>
      </c>
      <c r="R172" s="851">
        <f t="shared" si="125"/>
        <v>0</v>
      </c>
      <c r="S172" s="761">
        <f t="shared" si="125"/>
        <v>0</v>
      </c>
      <c r="T172" s="761">
        <f t="shared" si="125"/>
        <v>0</v>
      </c>
    </row>
    <row r="173" spans="1:20" ht="16" thickBot="1">
      <c r="A173" s="1123" t="s">
        <v>1087</v>
      </c>
      <c r="B173" s="1124"/>
      <c r="C173" s="1124"/>
      <c r="D173" s="521"/>
      <c r="E173" s="803"/>
      <c r="F173" s="521"/>
      <c r="G173" s="522"/>
      <c r="H173" s="523"/>
      <c r="I173" s="521"/>
      <c r="J173" s="365"/>
      <c r="K173" s="524"/>
      <c r="L173" s="524"/>
      <c r="M173" s="524"/>
      <c r="N173" s="524"/>
      <c r="O173" s="523"/>
      <c r="P173" s="523">
        <f t="shared" si="124"/>
        <v>0</v>
      </c>
      <c r="Q173" s="523">
        <f t="shared" si="125"/>
        <v>0</v>
      </c>
      <c r="R173" s="852">
        <f t="shared" si="125"/>
        <v>0</v>
      </c>
      <c r="S173" s="761">
        <f t="shared" si="125"/>
        <v>0</v>
      </c>
      <c r="T173" s="761">
        <f t="shared" si="125"/>
        <v>0</v>
      </c>
    </row>
    <row r="174" spans="1:20" ht="16" thickBot="1">
      <c r="A174" s="516" t="s">
        <v>1088</v>
      </c>
      <c r="B174" s="525"/>
      <c r="C174" s="444" t="s">
        <v>1064</v>
      </c>
      <c r="D174" s="488">
        <v>6.25E-2</v>
      </c>
      <c r="E174" s="804">
        <v>306.64999999999998</v>
      </c>
      <c r="F174" s="338">
        <v>6.9000000000000006E-2</v>
      </c>
      <c r="G174" s="478">
        <f>E174*F174</f>
        <v>21.158850000000001</v>
      </c>
      <c r="H174" s="490">
        <f>E174+G174</f>
        <v>327.80885000000001</v>
      </c>
      <c r="I174" s="338">
        <v>6.9000000000000006E-2</v>
      </c>
      <c r="J174" s="491">
        <f>H174*I174</f>
        <v>22.618810650000004</v>
      </c>
      <c r="K174" s="490">
        <f>H174+J174</f>
        <v>350.42766065000001</v>
      </c>
      <c r="L174" s="490">
        <f t="shared" ref="L174" si="137">K174*5.3%+K174</f>
        <v>369.00032666445003</v>
      </c>
      <c r="M174" s="490">
        <f t="shared" ref="M174:M176" si="138">L174*5.4%+L174</f>
        <v>388.92634430433031</v>
      </c>
      <c r="N174" s="490">
        <f t="shared" ref="N174:N176" si="139">M174*10%+M174</f>
        <v>427.81897873476333</v>
      </c>
      <c r="O174" s="637">
        <f>N174*5%+N174</f>
        <v>449.20992767150153</v>
      </c>
      <c r="P174" s="637">
        <f t="shared" si="124"/>
        <v>473.01805383809113</v>
      </c>
      <c r="Q174" s="637">
        <f t="shared" si="125"/>
        <v>496.66895652999568</v>
      </c>
      <c r="R174" s="843">
        <f t="shared" si="125"/>
        <v>521.5024043564955</v>
      </c>
      <c r="S174" s="761">
        <f t="shared" si="125"/>
        <v>547.57752457432025</v>
      </c>
      <c r="T174" s="761">
        <f t="shared" si="125"/>
        <v>574.95640080303622</v>
      </c>
    </row>
    <row r="175" spans="1:20" ht="16" thickBot="1">
      <c r="A175" s="516" t="s">
        <v>1089</v>
      </c>
      <c r="B175" s="526"/>
      <c r="C175" s="444" t="s">
        <v>1064</v>
      </c>
      <c r="D175" s="477">
        <v>6.25E-2</v>
      </c>
      <c r="E175" s="800">
        <v>306.64999999999998</v>
      </c>
      <c r="F175" s="338">
        <v>6.9000000000000006E-2</v>
      </c>
      <c r="G175" s="478">
        <f>E175*F175</f>
        <v>21.158850000000001</v>
      </c>
      <c r="H175" s="449">
        <f>E175+G175</f>
        <v>327.80885000000001</v>
      </c>
      <c r="I175" s="338">
        <v>6.9000000000000006E-2</v>
      </c>
      <c r="J175" s="443">
        <f>H175*I175</f>
        <v>22.618810650000004</v>
      </c>
      <c r="K175" s="449">
        <f>H175+J175</f>
        <v>350.42766065000001</v>
      </c>
      <c r="L175" s="449">
        <f t="shared" ref="L175" si="140">K175*5.3%+K175</f>
        <v>369.00032666445003</v>
      </c>
      <c r="M175" s="449">
        <f t="shared" si="138"/>
        <v>388.92634430433031</v>
      </c>
      <c r="N175" s="449">
        <f t="shared" si="139"/>
        <v>427.81897873476333</v>
      </c>
      <c r="O175" s="764">
        <f>N175*5%+N175</f>
        <v>449.20992767150153</v>
      </c>
      <c r="P175" s="764">
        <f t="shared" si="124"/>
        <v>473.01805383809113</v>
      </c>
      <c r="Q175" s="764">
        <f t="shared" si="125"/>
        <v>496.66895652999568</v>
      </c>
      <c r="R175" s="847">
        <f t="shared" si="125"/>
        <v>521.5024043564955</v>
      </c>
      <c r="S175" s="761">
        <f t="shared" si="125"/>
        <v>547.57752457432025</v>
      </c>
      <c r="T175" s="761">
        <f t="shared" si="125"/>
        <v>574.95640080303622</v>
      </c>
    </row>
    <row r="176" spans="1:20" ht="16" thickBot="1">
      <c r="A176" s="516" t="s">
        <v>1090</v>
      </c>
      <c r="B176" s="527"/>
      <c r="C176" s="432" t="s">
        <v>1064</v>
      </c>
      <c r="D176" s="485">
        <v>6.25E-2</v>
      </c>
      <c r="E176" s="801">
        <v>306.64999999999998</v>
      </c>
      <c r="F176" s="338">
        <v>6.9000000000000006E-2</v>
      </c>
      <c r="G176" s="478">
        <f>E176*F176</f>
        <v>21.158850000000001</v>
      </c>
      <c r="H176" s="503">
        <f>E176+G176</f>
        <v>327.80885000000001</v>
      </c>
      <c r="I176" s="338">
        <v>6.9000000000000006E-2</v>
      </c>
      <c r="J176" s="349">
        <f>H176*I176</f>
        <v>22.618810650000004</v>
      </c>
      <c r="K176" s="503">
        <f>H176+J176</f>
        <v>350.42766065000001</v>
      </c>
      <c r="L176" s="503">
        <f t="shared" ref="L176" si="141">K176*5.3%+K176</f>
        <v>369.00032666445003</v>
      </c>
      <c r="M176" s="503">
        <f t="shared" si="138"/>
        <v>388.92634430433031</v>
      </c>
      <c r="N176" s="503">
        <f t="shared" si="139"/>
        <v>427.81897873476333</v>
      </c>
      <c r="O176" s="503">
        <f>N176*5%+N176</f>
        <v>449.20992767150153</v>
      </c>
      <c r="P176" s="503">
        <f t="shared" si="124"/>
        <v>473.01805383809113</v>
      </c>
      <c r="Q176" s="503">
        <f t="shared" si="125"/>
        <v>496.66895652999568</v>
      </c>
      <c r="R176" s="839">
        <f t="shared" si="125"/>
        <v>521.5024043564955</v>
      </c>
      <c r="S176" s="761">
        <f t="shared" si="125"/>
        <v>547.57752457432025</v>
      </c>
      <c r="T176" s="761">
        <f t="shared" si="125"/>
        <v>574.95640080303622</v>
      </c>
    </row>
    <row r="177" spans="1:20">
      <c r="A177" s="528"/>
      <c r="B177" s="1125" t="s">
        <v>1091</v>
      </c>
      <c r="C177" s="1127" t="s">
        <v>1092</v>
      </c>
      <c r="D177" s="1129" t="s">
        <v>1093</v>
      </c>
      <c r="E177" s="1169" t="s">
        <v>1094</v>
      </c>
      <c r="H177" s="529" t="s">
        <v>918</v>
      </c>
      <c r="I177" s="506"/>
      <c r="J177" s="290"/>
      <c r="K177" s="529" t="s">
        <v>918</v>
      </c>
      <c r="L177" s="529" t="s">
        <v>918</v>
      </c>
      <c r="M177" s="529" t="s">
        <v>918</v>
      </c>
      <c r="N177" s="529" t="s">
        <v>918</v>
      </c>
      <c r="O177" s="771" t="s">
        <v>918</v>
      </c>
      <c r="P177" s="771" t="s">
        <v>918</v>
      </c>
      <c r="Q177" s="771" t="s">
        <v>918</v>
      </c>
      <c r="R177" s="853" t="s">
        <v>918</v>
      </c>
      <c r="S177" s="867" t="s">
        <v>918</v>
      </c>
      <c r="T177" s="867" t="s">
        <v>918</v>
      </c>
    </row>
    <row r="178" spans="1:20" ht="16" thickBot="1">
      <c r="A178" s="530"/>
      <c r="B178" s="1126"/>
      <c r="C178" s="1128"/>
      <c r="D178" s="1130"/>
      <c r="E178" s="1170"/>
      <c r="H178" s="531" t="s">
        <v>437</v>
      </c>
      <c r="I178" s="506"/>
      <c r="J178" s="290"/>
      <c r="K178" s="531" t="s">
        <v>438</v>
      </c>
      <c r="L178" s="531" t="s">
        <v>439</v>
      </c>
      <c r="M178" s="531" t="s">
        <v>304</v>
      </c>
      <c r="N178" s="531" t="s">
        <v>305</v>
      </c>
      <c r="O178" s="548" t="s">
        <v>306</v>
      </c>
      <c r="P178" s="548" t="s">
        <v>307</v>
      </c>
      <c r="Q178" s="548" t="s">
        <v>308</v>
      </c>
      <c r="R178" s="854" t="s">
        <v>309</v>
      </c>
      <c r="S178" s="868" t="s">
        <v>310</v>
      </c>
      <c r="T178" s="868" t="s">
        <v>1248</v>
      </c>
    </row>
    <row r="179" spans="1:20" ht="17" thickBot="1">
      <c r="A179" s="532" t="s">
        <v>1095</v>
      </c>
      <c r="B179" s="533"/>
      <c r="C179" s="451"/>
      <c r="D179" s="355"/>
      <c r="E179" s="789"/>
      <c r="F179" s="460"/>
      <c r="G179" s="461"/>
      <c r="H179" s="462"/>
      <c r="I179" s="460"/>
      <c r="J179" s="355"/>
      <c r="K179" s="463"/>
      <c r="L179" s="463"/>
      <c r="M179" s="463"/>
      <c r="N179" s="463"/>
      <c r="O179" s="462"/>
      <c r="P179" s="462">
        <f>O179+O179*5.3%</f>
        <v>0</v>
      </c>
      <c r="Q179" s="462">
        <f t="shared" ref="Q179:T182" si="142">P179+P179*5%</f>
        <v>0</v>
      </c>
      <c r="R179" s="849">
        <f t="shared" si="142"/>
        <v>0</v>
      </c>
      <c r="S179" s="761">
        <f t="shared" si="142"/>
        <v>0</v>
      </c>
      <c r="T179" s="761">
        <f t="shared" si="142"/>
        <v>0</v>
      </c>
    </row>
    <row r="180" spans="1:20" ht="16" thickBot="1">
      <c r="A180" s="534" t="s">
        <v>1088</v>
      </c>
      <c r="B180" s="535" t="s">
        <v>1064</v>
      </c>
      <c r="C180" s="488">
        <v>6.25E-2</v>
      </c>
      <c r="D180" s="489" t="e">
        <f>B180*C180</f>
        <v>#VALUE!</v>
      </c>
      <c r="E180" s="797">
        <v>306.64999999999998</v>
      </c>
      <c r="F180" s="338">
        <v>6.9000000000000006E-2</v>
      </c>
      <c r="G180" s="478">
        <f>E180*F180</f>
        <v>21.158850000000001</v>
      </c>
      <c r="H180" s="490">
        <f>E180+G180</f>
        <v>327.80885000000001</v>
      </c>
      <c r="I180" s="338">
        <v>6.9000000000000006E-2</v>
      </c>
      <c r="J180" s="491">
        <f>H180*I180</f>
        <v>22.618810650000004</v>
      </c>
      <c r="K180" s="490">
        <f>H180+J180</f>
        <v>350.42766065000001</v>
      </c>
      <c r="L180" s="490">
        <f t="shared" ref="L180" si="143">K180*5.3%+K180</f>
        <v>369.00032666445003</v>
      </c>
      <c r="M180" s="490">
        <f t="shared" ref="M180:M182" si="144">L180*5.4%+L180</f>
        <v>388.92634430433031</v>
      </c>
      <c r="N180" s="490">
        <f t="shared" ref="N180:N182" si="145">M180*10%+M180</f>
        <v>427.81897873476333</v>
      </c>
      <c r="O180" s="637">
        <f>N180*5%+N180</f>
        <v>449.20992767150153</v>
      </c>
      <c r="P180" s="637">
        <f>O180+O180*5.3%</f>
        <v>473.01805383809113</v>
      </c>
      <c r="Q180" s="637">
        <f t="shared" si="142"/>
        <v>496.66895652999568</v>
      </c>
      <c r="R180" s="843">
        <f t="shared" ref="R180:R204" si="146">Q180+Q180*3.7%</f>
        <v>515.04570792160553</v>
      </c>
      <c r="S180" s="761">
        <f t="shared" ref="S180:S204" si="147">R180+R180*3.3%</f>
        <v>532.04221628301855</v>
      </c>
      <c r="T180" s="761">
        <f t="shared" ref="T180:T204" si="148">S180+S180*3.2%</f>
        <v>549.06756720407509</v>
      </c>
    </row>
    <row r="181" spans="1:20" ht="17" thickBot="1">
      <c r="A181" s="536" t="s">
        <v>1089</v>
      </c>
      <c r="B181" s="535" t="s">
        <v>1064</v>
      </c>
      <c r="C181" s="477">
        <v>6.25E-2</v>
      </c>
      <c r="D181" s="451" t="e">
        <f>B181*C181</f>
        <v>#VALUE!</v>
      </c>
      <c r="E181" s="794">
        <v>306.64999999999998</v>
      </c>
      <c r="F181" s="338">
        <v>6.9000000000000006E-2</v>
      </c>
      <c r="G181" s="478">
        <f>E181*F181</f>
        <v>21.158850000000001</v>
      </c>
      <c r="H181" s="449">
        <f>E181+G181</f>
        <v>327.80885000000001</v>
      </c>
      <c r="I181" s="338">
        <v>6.9000000000000006E-2</v>
      </c>
      <c r="J181" s="443">
        <f>H181*I181</f>
        <v>22.618810650000004</v>
      </c>
      <c r="K181" s="449">
        <f>H181+J181</f>
        <v>350.42766065000001</v>
      </c>
      <c r="L181" s="449">
        <f t="shared" ref="L181" si="149">K181*5.3%+K181</f>
        <v>369.00032666445003</v>
      </c>
      <c r="M181" s="449">
        <f t="shared" si="144"/>
        <v>388.92634430433031</v>
      </c>
      <c r="N181" s="449">
        <f t="shared" si="145"/>
        <v>427.81897873476333</v>
      </c>
      <c r="O181" s="764">
        <f>N181*5%+N181</f>
        <v>449.20992767150153</v>
      </c>
      <c r="P181" s="764">
        <f>O181+O181*5.3%</f>
        <v>473.01805383809113</v>
      </c>
      <c r="Q181" s="764">
        <f t="shared" si="142"/>
        <v>496.66895652999568</v>
      </c>
      <c r="R181" s="843">
        <f t="shared" si="146"/>
        <v>515.04570792160553</v>
      </c>
      <c r="S181" s="761">
        <f t="shared" si="147"/>
        <v>532.04221628301855</v>
      </c>
      <c r="T181" s="761">
        <f t="shared" si="148"/>
        <v>549.06756720407509</v>
      </c>
    </row>
    <row r="182" spans="1:20" ht="16" thickBot="1">
      <c r="A182" s="534" t="s">
        <v>1090</v>
      </c>
      <c r="B182" s="535" t="s">
        <v>1064</v>
      </c>
      <c r="C182" s="477">
        <v>6.25E-2</v>
      </c>
      <c r="D182" s="451" t="e">
        <f>B182*C182</f>
        <v>#VALUE!</v>
      </c>
      <c r="E182" s="794">
        <v>306.64999999999998</v>
      </c>
      <c r="F182" s="338">
        <v>6.9000000000000006E-2</v>
      </c>
      <c r="G182" s="478">
        <f>E182*F182</f>
        <v>21.158850000000001</v>
      </c>
      <c r="H182" s="449">
        <f>E182+G182</f>
        <v>327.80885000000001</v>
      </c>
      <c r="I182" s="338">
        <v>6.9000000000000006E-2</v>
      </c>
      <c r="J182" s="537">
        <v>17.93</v>
      </c>
      <c r="K182" s="449">
        <f>H182+J182</f>
        <v>345.73885000000001</v>
      </c>
      <c r="L182" s="449">
        <f t="shared" ref="L182" si="150">K182*5.3%+K182</f>
        <v>364.06300905000001</v>
      </c>
      <c r="M182" s="449">
        <f t="shared" si="144"/>
        <v>383.72241153869999</v>
      </c>
      <c r="N182" s="449">
        <f t="shared" si="145"/>
        <v>422.09465269256998</v>
      </c>
      <c r="O182" s="764">
        <f>N182*5%+N182</f>
        <v>443.19938532719846</v>
      </c>
      <c r="P182" s="764">
        <f>O182+O182*5.3%</f>
        <v>466.68895274953996</v>
      </c>
      <c r="Q182" s="764">
        <f t="shared" si="142"/>
        <v>490.02340038701698</v>
      </c>
      <c r="R182" s="843">
        <f t="shared" si="146"/>
        <v>508.15426620133661</v>
      </c>
      <c r="S182" s="761">
        <f t="shared" si="147"/>
        <v>524.92335698598072</v>
      </c>
      <c r="T182" s="761">
        <f t="shared" si="148"/>
        <v>541.72090440953207</v>
      </c>
    </row>
    <row r="183" spans="1:20" ht="16" thickBot="1">
      <c r="A183" s="1149" t="s">
        <v>1096</v>
      </c>
      <c r="B183" s="1150"/>
      <c r="C183" s="538"/>
      <c r="D183" s="472"/>
      <c r="E183" s="805"/>
      <c r="H183" s="475"/>
      <c r="I183" s="439"/>
      <c r="J183" s="440"/>
      <c r="K183" s="475"/>
      <c r="L183" s="475"/>
      <c r="M183" s="475"/>
      <c r="N183" s="475"/>
      <c r="O183" s="770"/>
      <c r="P183" s="770"/>
      <c r="Q183" s="770"/>
      <c r="R183" s="843">
        <f t="shared" si="146"/>
        <v>0</v>
      </c>
      <c r="S183" s="761">
        <f t="shared" si="147"/>
        <v>0</v>
      </c>
      <c r="T183" s="761">
        <f t="shared" si="148"/>
        <v>0</v>
      </c>
    </row>
    <row r="184" spans="1:20" ht="16" thickBot="1">
      <c r="A184" s="1097" t="s">
        <v>1097</v>
      </c>
      <c r="B184" s="1098"/>
      <c r="C184" s="539"/>
      <c r="D184" s="474"/>
      <c r="E184" s="806"/>
      <c r="H184" s="475"/>
      <c r="I184" s="439"/>
      <c r="J184" s="440"/>
      <c r="K184" s="475"/>
      <c r="L184" s="475"/>
      <c r="M184" s="475"/>
      <c r="N184" s="475"/>
      <c r="O184" s="770"/>
      <c r="P184" s="770"/>
      <c r="Q184" s="770"/>
      <c r="R184" s="843">
        <f t="shared" si="146"/>
        <v>0</v>
      </c>
      <c r="S184" s="761">
        <f t="shared" si="147"/>
        <v>0</v>
      </c>
      <c r="T184" s="761">
        <f t="shared" si="148"/>
        <v>0</v>
      </c>
    </row>
    <row r="185" spans="1:20" ht="16" thickBot="1">
      <c r="A185" s="441" t="s">
        <v>1098</v>
      </c>
      <c r="B185" s="444" t="s">
        <v>1099</v>
      </c>
      <c r="C185" s="477">
        <v>6.25E-2</v>
      </c>
      <c r="D185" s="451" t="e">
        <f>B185*C185</f>
        <v>#VALUE!</v>
      </c>
      <c r="E185" s="794">
        <v>197.13</v>
      </c>
      <c r="F185" s="338">
        <v>6.9000000000000006E-2</v>
      </c>
      <c r="G185" s="478">
        <f>E185*F185</f>
        <v>13.601970000000001</v>
      </c>
      <c r="H185" s="449">
        <f>G185+E185</f>
        <v>210.73196999999999</v>
      </c>
      <c r="I185" s="338">
        <v>6.9000000000000006E-2</v>
      </c>
      <c r="J185" s="443">
        <f>H185*I185</f>
        <v>14.54050593</v>
      </c>
      <c r="K185" s="449">
        <f>H185+J185</f>
        <v>225.27247592999998</v>
      </c>
      <c r="L185" s="449">
        <f t="shared" ref="L185" si="151">K185*5.3%+K185</f>
        <v>237.21191715428998</v>
      </c>
      <c r="M185" s="449">
        <f t="shared" ref="M185:M188" si="152">L185*5.4%+L185</f>
        <v>250.02136068062163</v>
      </c>
      <c r="N185" s="449">
        <f t="shared" ref="N185:N188" si="153">M185*10%+M185</f>
        <v>275.02349674868378</v>
      </c>
      <c r="O185" s="764">
        <f>N185*5%+N185</f>
        <v>288.77467158611796</v>
      </c>
      <c r="P185" s="764">
        <f>O185+O185*5.3%</f>
        <v>304.0797291801822</v>
      </c>
      <c r="Q185" s="764">
        <f t="shared" ref="Q185:Q188" si="154">P185+P185*5%</f>
        <v>319.28371563919131</v>
      </c>
      <c r="R185" s="843">
        <f t="shared" si="146"/>
        <v>331.09721311784142</v>
      </c>
      <c r="S185" s="761">
        <f t="shared" si="147"/>
        <v>342.0234211507302</v>
      </c>
      <c r="T185" s="761">
        <f t="shared" si="148"/>
        <v>352.96817062755355</v>
      </c>
    </row>
    <row r="186" spans="1:20" ht="16" thickBot="1">
      <c r="A186" s="516" t="s">
        <v>1100</v>
      </c>
      <c r="B186" s="444" t="s">
        <v>1101</v>
      </c>
      <c r="C186" s="477">
        <v>6.25E-2</v>
      </c>
      <c r="D186" s="451" t="e">
        <f>B186*C186</f>
        <v>#VALUE!</v>
      </c>
      <c r="E186" s="794">
        <v>202.97</v>
      </c>
      <c r="F186" s="338">
        <v>6.9000000000000006E-2</v>
      </c>
      <c r="G186" s="478">
        <f>E186*F186</f>
        <v>14.004930000000002</v>
      </c>
      <c r="H186" s="449">
        <f>E186+G186</f>
        <v>216.97493</v>
      </c>
      <c r="I186" s="338">
        <v>6.9000000000000006E-2</v>
      </c>
      <c r="J186" s="443">
        <f>H186*I186</f>
        <v>14.971270170000002</v>
      </c>
      <c r="K186" s="449">
        <f>H186+J186</f>
        <v>231.94620017</v>
      </c>
      <c r="L186" s="449">
        <f t="shared" ref="L186" si="155">K186*5.3%+K186</f>
        <v>244.23934877900999</v>
      </c>
      <c r="M186" s="449">
        <f t="shared" si="152"/>
        <v>257.4282736130765</v>
      </c>
      <c r="N186" s="449">
        <f t="shared" si="153"/>
        <v>283.17110097438416</v>
      </c>
      <c r="O186" s="764">
        <f>N186*5%+N186</f>
        <v>297.32965602310338</v>
      </c>
      <c r="P186" s="764">
        <f>O186+O186*5.3%</f>
        <v>313.08812779232784</v>
      </c>
      <c r="Q186" s="764">
        <f t="shared" si="154"/>
        <v>328.74253418194422</v>
      </c>
      <c r="R186" s="843">
        <f t="shared" si="146"/>
        <v>340.90600794667614</v>
      </c>
      <c r="S186" s="761">
        <f t="shared" si="147"/>
        <v>352.15590620891646</v>
      </c>
      <c r="T186" s="761">
        <f t="shared" si="148"/>
        <v>363.42489520760176</v>
      </c>
    </row>
    <row r="187" spans="1:20" ht="16" thickBot="1">
      <c r="A187" s="516" t="s">
        <v>1102</v>
      </c>
      <c r="B187" s="444" t="s">
        <v>1101</v>
      </c>
      <c r="C187" s="477">
        <v>6.25E-2</v>
      </c>
      <c r="D187" s="451" t="e">
        <f>B187*C187</f>
        <v>#VALUE!</v>
      </c>
      <c r="E187" s="794">
        <v>202.97</v>
      </c>
      <c r="F187" s="338">
        <v>6.9000000000000006E-2</v>
      </c>
      <c r="G187" s="478">
        <f>E187*F187</f>
        <v>14.004930000000002</v>
      </c>
      <c r="H187" s="449">
        <f>E187+G187</f>
        <v>216.97493</v>
      </c>
      <c r="I187" s="338">
        <v>6.9000000000000006E-2</v>
      </c>
      <c r="J187" s="443">
        <f>H187*I187</f>
        <v>14.971270170000002</v>
      </c>
      <c r="K187" s="449">
        <f>H187+J187</f>
        <v>231.94620017</v>
      </c>
      <c r="L187" s="449">
        <f t="shared" ref="L187" si="156">K187*5.3%+K187</f>
        <v>244.23934877900999</v>
      </c>
      <c r="M187" s="449">
        <f t="shared" si="152"/>
        <v>257.4282736130765</v>
      </c>
      <c r="N187" s="449">
        <f t="shared" si="153"/>
        <v>283.17110097438416</v>
      </c>
      <c r="O187" s="764">
        <f>N187*5%+N187</f>
        <v>297.32965602310338</v>
      </c>
      <c r="P187" s="764">
        <f>O187+O187*5.3%</f>
        <v>313.08812779232784</v>
      </c>
      <c r="Q187" s="764">
        <f t="shared" si="154"/>
        <v>328.74253418194422</v>
      </c>
      <c r="R187" s="843">
        <f t="shared" si="146"/>
        <v>340.90600794667614</v>
      </c>
      <c r="S187" s="761">
        <f t="shared" si="147"/>
        <v>352.15590620891646</v>
      </c>
      <c r="T187" s="761">
        <f t="shared" si="148"/>
        <v>363.42489520760176</v>
      </c>
    </row>
    <row r="188" spans="1:20" ht="16" thickBot="1">
      <c r="A188" s="516" t="s">
        <v>1103</v>
      </c>
      <c r="B188" s="444" t="s">
        <v>1101</v>
      </c>
      <c r="C188" s="477">
        <v>6.25E-2</v>
      </c>
      <c r="D188" s="451" t="e">
        <f>B188*C188</f>
        <v>#VALUE!</v>
      </c>
      <c r="E188" s="794">
        <v>202.97</v>
      </c>
      <c r="F188" s="338">
        <v>6.9000000000000006E-2</v>
      </c>
      <c r="G188" s="478">
        <f>E188*F188</f>
        <v>14.004930000000002</v>
      </c>
      <c r="H188" s="449">
        <f>E188+G188</f>
        <v>216.97493</v>
      </c>
      <c r="I188" s="338">
        <v>6.9000000000000006E-2</v>
      </c>
      <c r="J188" s="443">
        <f>H188*I188</f>
        <v>14.971270170000002</v>
      </c>
      <c r="K188" s="449">
        <f>H188+J188</f>
        <v>231.94620017</v>
      </c>
      <c r="L188" s="449">
        <f t="shared" ref="L188" si="157">K188*5.3%+K188</f>
        <v>244.23934877900999</v>
      </c>
      <c r="M188" s="449">
        <f t="shared" si="152"/>
        <v>257.4282736130765</v>
      </c>
      <c r="N188" s="449">
        <f t="shared" si="153"/>
        <v>283.17110097438416</v>
      </c>
      <c r="O188" s="764">
        <f>N188*5%+N188</f>
        <v>297.32965602310338</v>
      </c>
      <c r="P188" s="764">
        <f>O188+O188*5.3%</f>
        <v>313.08812779232784</v>
      </c>
      <c r="Q188" s="764">
        <f t="shared" si="154"/>
        <v>328.74253418194422</v>
      </c>
      <c r="R188" s="843">
        <f t="shared" si="146"/>
        <v>340.90600794667614</v>
      </c>
      <c r="S188" s="761">
        <f t="shared" si="147"/>
        <v>352.15590620891646</v>
      </c>
      <c r="T188" s="761">
        <f t="shared" si="148"/>
        <v>363.42489520760176</v>
      </c>
    </row>
    <row r="189" spans="1:20" ht="16" thickBot="1">
      <c r="A189" s="1097" t="s">
        <v>1104</v>
      </c>
      <c r="B189" s="1098"/>
      <c r="C189" s="540"/>
      <c r="D189" s="481"/>
      <c r="E189" s="807"/>
      <c r="H189" s="475"/>
      <c r="I189" s="439"/>
      <c r="J189" s="440"/>
      <c r="K189" s="449"/>
      <c r="L189" s="449"/>
      <c r="M189" s="449"/>
      <c r="N189" s="449"/>
      <c r="O189" s="764"/>
      <c r="P189" s="764"/>
      <c r="Q189" s="764"/>
      <c r="R189" s="843">
        <f t="shared" si="146"/>
        <v>0</v>
      </c>
      <c r="S189" s="761">
        <f t="shared" si="147"/>
        <v>0</v>
      </c>
      <c r="T189" s="761">
        <f t="shared" si="148"/>
        <v>0</v>
      </c>
    </row>
    <row r="190" spans="1:20" ht="16" thickBot="1">
      <c r="A190" s="441" t="s">
        <v>1105</v>
      </c>
      <c r="B190" s="444" t="s">
        <v>1099</v>
      </c>
      <c r="C190" s="477">
        <v>6.25E-2</v>
      </c>
      <c r="D190" s="451" t="e">
        <f t="shared" ref="D190:D195" si="158">B190*C190</f>
        <v>#VALUE!</v>
      </c>
      <c r="E190" s="794">
        <v>185.53</v>
      </c>
      <c r="F190" s="338">
        <v>6.9000000000000006E-2</v>
      </c>
      <c r="G190" s="478">
        <f t="shared" ref="G190:G195" si="159">E190*F190</f>
        <v>12.801570000000002</v>
      </c>
      <c r="H190" s="449">
        <f t="shared" ref="H190:H195" si="160">E190+G190</f>
        <v>198.33157</v>
      </c>
      <c r="I190" s="338">
        <v>6.9000000000000006E-2</v>
      </c>
      <c r="J190" s="443">
        <f t="shared" ref="J190:J195" si="161">H190*I190</f>
        <v>13.684878330000002</v>
      </c>
      <c r="K190" s="449">
        <f t="shared" ref="K190:K195" si="162">H190+J190</f>
        <v>212.01644833</v>
      </c>
      <c r="L190" s="449">
        <f t="shared" ref="L190" si="163">K190*5.3%+K190</f>
        <v>223.25332009149</v>
      </c>
      <c r="M190" s="449">
        <f t="shared" ref="M190:M195" si="164">L190*5.4%+L190</f>
        <v>235.30899937643045</v>
      </c>
      <c r="N190" s="449">
        <f t="shared" ref="N190:N195" si="165">M190*10%+M190</f>
        <v>258.83989931407348</v>
      </c>
      <c r="O190" s="764">
        <f t="shared" ref="O190:O195" si="166">N190*5%+N190</f>
        <v>271.78189427977713</v>
      </c>
      <c r="P190" s="764">
        <f t="shared" ref="P190:P195" si="167">O190+O190*5.3%</f>
        <v>286.18633467660533</v>
      </c>
      <c r="Q190" s="764">
        <f t="shared" ref="Q190:Q195" si="168">P190+P190*5%</f>
        <v>300.49565141043558</v>
      </c>
      <c r="R190" s="843">
        <f t="shared" si="146"/>
        <v>311.61399051262168</v>
      </c>
      <c r="S190" s="761">
        <f t="shared" si="147"/>
        <v>321.89725219953817</v>
      </c>
      <c r="T190" s="761">
        <f t="shared" si="148"/>
        <v>332.19796426992338</v>
      </c>
    </row>
    <row r="191" spans="1:20" ht="16" thickBot="1">
      <c r="A191" s="516" t="s">
        <v>1100</v>
      </c>
      <c r="B191" s="444" t="s">
        <v>1099</v>
      </c>
      <c r="C191" s="477">
        <v>6.25E-2</v>
      </c>
      <c r="D191" s="451" t="e">
        <f t="shared" si="158"/>
        <v>#VALUE!</v>
      </c>
      <c r="E191" s="794">
        <v>197.13</v>
      </c>
      <c r="F191" s="338">
        <v>6.9000000000000006E-2</v>
      </c>
      <c r="G191" s="478">
        <f t="shared" si="159"/>
        <v>13.601970000000001</v>
      </c>
      <c r="H191" s="449">
        <f t="shared" si="160"/>
        <v>210.73196999999999</v>
      </c>
      <c r="I191" s="338">
        <v>6.9000000000000006E-2</v>
      </c>
      <c r="J191" s="443">
        <f t="shared" si="161"/>
        <v>14.54050593</v>
      </c>
      <c r="K191" s="449">
        <f t="shared" si="162"/>
        <v>225.27247592999998</v>
      </c>
      <c r="L191" s="449">
        <f t="shared" ref="L191" si="169">K191*5.3%+K191</f>
        <v>237.21191715428998</v>
      </c>
      <c r="M191" s="449">
        <f t="shared" si="164"/>
        <v>250.02136068062163</v>
      </c>
      <c r="N191" s="449">
        <f t="shared" si="165"/>
        <v>275.02349674868378</v>
      </c>
      <c r="O191" s="764">
        <f t="shared" si="166"/>
        <v>288.77467158611796</v>
      </c>
      <c r="P191" s="764">
        <f t="shared" si="167"/>
        <v>304.0797291801822</v>
      </c>
      <c r="Q191" s="764">
        <f t="shared" si="168"/>
        <v>319.28371563919131</v>
      </c>
      <c r="R191" s="843">
        <f t="shared" si="146"/>
        <v>331.09721311784142</v>
      </c>
      <c r="S191" s="761">
        <f t="shared" si="147"/>
        <v>342.0234211507302</v>
      </c>
      <c r="T191" s="761">
        <f t="shared" si="148"/>
        <v>352.96817062755355</v>
      </c>
    </row>
    <row r="192" spans="1:20" ht="16" thickBot="1">
      <c r="A192" s="516" t="s">
        <v>1102</v>
      </c>
      <c r="B192" s="444" t="s">
        <v>1099</v>
      </c>
      <c r="C192" s="477">
        <v>6.25E-2</v>
      </c>
      <c r="D192" s="451" t="e">
        <f t="shared" si="158"/>
        <v>#VALUE!</v>
      </c>
      <c r="E192" s="794">
        <v>197.13</v>
      </c>
      <c r="F192" s="338">
        <v>6.9000000000000006E-2</v>
      </c>
      <c r="G192" s="478">
        <f t="shared" si="159"/>
        <v>13.601970000000001</v>
      </c>
      <c r="H192" s="449">
        <f t="shared" si="160"/>
        <v>210.73196999999999</v>
      </c>
      <c r="I192" s="338">
        <v>6.9000000000000006E-2</v>
      </c>
      <c r="J192" s="443">
        <f t="shared" si="161"/>
        <v>14.54050593</v>
      </c>
      <c r="K192" s="449">
        <f t="shared" si="162"/>
        <v>225.27247592999998</v>
      </c>
      <c r="L192" s="449">
        <f t="shared" ref="L192" si="170">K192*5.3%+K192</f>
        <v>237.21191715428998</v>
      </c>
      <c r="M192" s="449">
        <f t="shared" si="164"/>
        <v>250.02136068062163</v>
      </c>
      <c r="N192" s="449">
        <f t="shared" si="165"/>
        <v>275.02349674868378</v>
      </c>
      <c r="O192" s="764">
        <f t="shared" si="166"/>
        <v>288.77467158611796</v>
      </c>
      <c r="P192" s="764">
        <f t="shared" si="167"/>
        <v>304.0797291801822</v>
      </c>
      <c r="Q192" s="764">
        <f t="shared" si="168"/>
        <v>319.28371563919131</v>
      </c>
      <c r="R192" s="843">
        <f t="shared" si="146"/>
        <v>331.09721311784142</v>
      </c>
      <c r="S192" s="761">
        <f t="shared" si="147"/>
        <v>342.0234211507302</v>
      </c>
      <c r="T192" s="761">
        <f t="shared" si="148"/>
        <v>352.96817062755355</v>
      </c>
    </row>
    <row r="193" spans="1:20" ht="16" thickBot="1">
      <c r="A193" s="516" t="s">
        <v>1103</v>
      </c>
      <c r="B193" s="444" t="s">
        <v>1099</v>
      </c>
      <c r="C193" s="477">
        <v>6.25E-2</v>
      </c>
      <c r="D193" s="451" t="e">
        <f t="shared" si="158"/>
        <v>#VALUE!</v>
      </c>
      <c r="E193" s="794">
        <v>197.13</v>
      </c>
      <c r="F193" s="338">
        <v>6.9000000000000006E-2</v>
      </c>
      <c r="G193" s="478">
        <f t="shared" si="159"/>
        <v>13.601970000000001</v>
      </c>
      <c r="H193" s="449">
        <f t="shared" si="160"/>
        <v>210.73196999999999</v>
      </c>
      <c r="I193" s="338">
        <v>6.9000000000000006E-2</v>
      </c>
      <c r="J193" s="443">
        <f t="shared" si="161"/>
        <v>14.54050593</v>
      </c>
      <c r="K193" s="449">
        <f t="shared" si="162"/>
        <v>225.27247592999998</v>
      </c>
      <c r="L193" s="449">
        <f t="shared" ref="L193" si="171">K193*5.3%+K193</f>
        <v>237.21191715428998</v>
      </c>
      <c r="M193" s="449">
        <f t="shared" si="164"/>
        <v>250.02136068062163</v>
      </c>
      <c r="N193" s="449">
        <f t="shared" si="165"/>
        <v>275.02349674868378</v>
      </c>
      <c r="O193" s="764">
        <f t="shared" si="166"/>
        <v>288.77467158611796</v>
      </c>
      <c r="P193" s="764">
        <f t="shared" si="167"/>
        <v>304.0797291801822</v>
      </c>
      <c r="Q193" s="764">
        <f t="shared" si="168"/>
        <v>319.28371563919131</v>
      </c>
      <c r="R193" s="843">
        <f t="shared" si="146"/>
        <v>331.09721311784142</v>
      </c>
      <c r="S193" s="761">
        <f t="shared" si="147"/>
        <v>342.0234211507302</v>
      </c>
      <c r="T193" s="761">
        <f t="shared" si="148"/>
        <v>352.96817062755355</v>
      </c>
    </row>
    <row r="194" spans="1:20" ht="16" thickBot="1">
      <c r="A194" s="516" t="s">
        <v>1106</v>
      </c>
      <c r="B194" s="444" t="s">
        <v>1099</v>
      </c>
      <c r="C194" s="488">
        <v>6.25E-2</v>
      </c>
      <c r="D194" s="489" t="e">
        <f t="shared" si="158"/>
        <v>#VALUE!</v>
      </c>
      <c r="E194" s="797">
        <v>197.13</v>
      </c>
      <c r="F194" s="338">
        <v>6.9000000000000006E-2</v>
      </c>
      <c r="G194" s="478">
        <f t="shared" si="159"/>
        <v>13.601970000000001</v>
      </c>
      <c r="H194" s="449">
        <f t="shared" si="160"/>
        <v>210.73196999999999</v>
      </c>
      <c r="I194" s="338">
        <v>6.9000000000000006E-2</v>
      </c>
      <c r="J194" s="443">
        <f t="shared" si="161"/>
        <v>14.54050593</v>
      </c>
      <c r="K194" s="449">
        <f t="shared" si="162"/>
        <v>225.27247592999998</v>
      </c>
      <c r="L194" s="449">
        <f t="shared" ref="L194" si="172">K194*5.3%+K194</f>
        <v>237.21191715428998</v>
      </c>
      <c r="M194" s="449">
        <f t="shared" si="164"/>
        <v>250.02136068062163</v>
      </c>
      <c r="N194" s="449">
        <f t="shared" si="165"/>
        <v>275.02349674868378</v>
      </c>
      <c r="O194" s="764">
        <f t="shared" si="166"/>
        <v>288.77467158611796</v>
      </c>
      <c r="P194" s="764">
        <f t="shared" si="167"/>
        <v>304.0797291801822</v>
      </c>
      <c r="Q194" s="764">
        <f t="shared" si="168"/>
        <v>319.28371563919131</v>
      </c>
      <c r="R194" s="843">
        <f t="shared" si="146"/>
        <v>331.09721311784142</v>
      </c>
      <c r="S194" s="761">
        <f t="shared" si="147"/>
        <v>342.0234211507302</v>
      </c>
      <c r="T194" s="761">
        <f t="shared" si="148"/>
        <v>352.96817062755355</v>
      </c>
    </row>
    <row r="195" spans="1:20" ht="16" thickBot="1">
      <c r="A195" s="541" t="s">
        <v>1107</v>
      </c>
      <c r="B195" s="432" t="s">
        <v>1099</v>
      </c>
      <c r="C195" s="485">
        <v>6.25E-2</v>
      </c>
      <c r="D195" s="486" t="e">
        <f t="shared" si="158"/>
        <v>#VALUE!</v>
      </c>
      <c r="E195" s="796">
        <v>197.13</v>
      </c>
      <c r="F195" s="338">
        <v>6.9000000000000006E-2</v>
      </c>
      <c r="G195" s="478">
        <f t="shared" si="159"/>
        <v>13.601970000000001</v>
      </c>
      <c r="H195" s="487">
        <f t="shared" si="160"/>
        <v>210.73196999999999</v>
      </c>
      <c r="I195" s="338">
        <v>6.9000000000000006E-2</v>
      </c>
      <c r="J195" s="452">
        <f t="shared" si="161"/>
        <v>14.54050593</v>
      </c>
      <c r="K195" s="487">
        <f t="shared" si="162"/>
        <v>225.27247592999998</v>
      </c>
      <c r="L195" s="487">
        <f t="shared" ref="L195" si="173">K195*5.3%+K195</f>
        <v>237.21191715428998</v>
      </c>
      <c r="M195" s="487">
        <f t="shared" si="164"/>
        <v>250.02136068062163</v>
      </c>
      <c r="N195" s="487">
        <f t="shared" si="165"/>
        <v>275.02349674868378</v>
      </c>
      <c r="O195" s="638">
        <f t="shared" si="166"/>
        <v>288.77467158611796</v>
      </c>
      <c r="P195" s="638">
        <f t="shared" si="167"/>
        <v>304.0797291801822</v>
      </c>
      <c r="Q195" s="638">
        <f t="shared" si="168"/>
        <v>319.28371563919131</v>
      </c>
      <c r="R195" s="843">
        <f t="shared" si="146"/>
        <v>331.09721311784142</v>
      </c>
      <c r="S195" s="761">
        <f t="shared" si="147"/>
        <v>342.0234211507302</v>
      </c>
      <c r="T195" s="761">
        <f t="shared" si="148"/>
        <v>352.96817062755355</v>
      </c>
    </row>
    <row r="196" spans="1:20" ht="16" thickBot="1">
      <c r="A196" s="1121" t="s">
        <v>1108</v>
      </c>
      <c r="B196" s="1122"/>
      <c r="C196" s="517"/>
      <c r="D196" s="360"/>
      <c r="E196" s="802"/>
      <c r="F196" s="517"/>
      <c r="G196" s="518"/>
      <c r="H196" s="519"/>
      <c r="I196" s="517"/>
      <c r="J196" s="360"/>
      <c r="K196" s="520"/>
      <c r="L196" s="520"/>
      <c r="M196" s="520"/>
      <c r="N196" s="520"/>
      <c r="O196" s="519"/>
      <c r="P196" s="519"/>
      <c r="Q196" s="519"/>
      <c r="R196" s="843">
        <f t="shared" si="146"/>
        <v>0</v>
      </c>
      <c r="S196" s="761">
        <f t="shared" si="147"/>
        <v>0</v>
      </c>
      <c r="T196" s="761">
        <f t="shared" si="148"/>
        <v>0</v>
      </c>
    </row>
    <row r="197" spans="1:20" ht="16" thickBot="1">
      <c r="A197" s="1099" t="s">
        <v>1109</v>
      </c>
      <c r="B197" s="1100"/>
      <c r="C197" s="460"/>
      <c r="D197" s="355"/>
      <c r="E197" s="789"/>
      <c r="F197" s="460"/>
      <c r="G197" s="461"/>
      <c r="H197" s="462"/>
      <c r="I197" s="460"/>
      <c r="J197" s="355"/>
      <c r="K197" s="463"/>
      <c r="L197" s="463"/>
      <c r="M197" s="463"/>
      <c r="N197" s="463"/>
      <c r="O197" s="462"/>
      <c r="P197" s="462"/>
      <c r="Q197" s="462"/>
      <c r="R197" s="843">
        <f t="shared" si="146"/>
        <v>0</v>
      </c>
      <c r="S197" s="761">
        <f t="shared" si="147"/>
        <v>0</v>
      </c>
      <c r="T197" s="761">
        <f t="shared" si="148"/>
        <v>0</v>
      </c>
    </row>
    <row r="198" spans="1:20" ht="16" thickBot="1">
      <c r="A198" s="441" t="s">
        <v>1110</v>
      </c>
      <c r="B198" s="444" t="s">
        <v>1111</v>
      </c>
      <c r="C198" s="488">
        <v>6.25E-2</v>
      </c>
      <c r="D198" s="489" t="e">
        <f t="shared" ref="D198:D204" si="174">B198*C198</f>
        <v>#VALUE!</v>
      </c>
      <c r="E198" s="797">
        <v>372.35</v>
      </c>
      <c r="F198" s="338">
        <v>6.9000000000000006E-2</v>
      </c>
      <c r="G198" s="478">
        <f t="shared" ref="G198:G204" si="175">E198*F198</f>
        <v>25.692150000000005</v>
      </c>
      <c r="H198" s="490">
        <f t="shared" ref="H198:H204" si="176">E198+G198</f>
        <v>398.04215000000005</v>
      </c>
      <c r="I198" s="338">
        <v>6.9000000000000006E-2</v>
      </c>
      <c r="J198" s="491">
        <f t="shared" ref="J198:J204" si="177">H198*I198</f>
        <v>27.464908350000005</v>
      </c>
      <c r="K198" s="490">
        <f t="shared" ref="K198:K204" si="178">H198+J198</f>
        <v>425.50705835000008</v>
      </c>
      <c r="L198" s="490">
        <f t="shared" ref="L198" si="179">K198*5.3%+K198</f>
        <v>448.05893244255009</v>
      </c>
      <c r="M198" s="490">
        <f t="shared" ref="M198:M204" si="180">L198*5.4%+L198</f>
        <v>472.25411479444779</v>
      </c>
      <c r="N198" s="490">
        <f t="shared" ref="N198:N204" si="181">M198*10%+M198</f>
        <v>519.47952627389259</v>
      </c>
      <c r="O198" s="637">
        <f t="shared" ref="O198:O204" si="182">N198*5%+N198</f>
        <v>545.4535025875872</v>
      </c>
      <c r="P198" s="637">
        <f t="shared" ref="P198:P204" si="183">O198+O198*5.3%</f>
        <v>574.36253822472929</v>
      </c>
      <c r="Q198" s="637">
        <f t="shared" ref="Q198:Q204" si="184">P198+P198*5%</f>
        <v>603.08066513596577</v>
      </c>
      <c r="R198" s="843">
        <f t="shared" si="146"/>
        <v>625.3946497459965</v>
      </c>
      <c r="S198" s="761">
        <f t="shared" si="147"/>
        <v>646.03267318761436</v>
      </c>
      <c r="T198" s="761">
        <f t="shared" si="148"/>
        <v>666.70571872961807</v>
      </c>
    </row>
    <row r="199" spans="1:20" ht="16" thickBot="1">
      <c r="A199" s="516" t="s">
        <v>1112</v>
      </c>
      <c r="B199" s="444" t="s">
        <v>1113</v>
      </c>
      <c r="C199" s="477">
        <v>6.25E-2</v>
      </c>
      <c r="D199" s="451" t="e">
        <f t="shared" si="174"/>
        <v>#VALUE!</v>
      </c>
      <c r="E199" s="794">
        <v>493.56</v>
      </c>
      <c r="F199" s="338">
        <v>6.9000000000000006E-2</v>
      </c>
      <c r="G199" s="478">
        <f t="shared" si="175"/>
        <v>34.055640000000004</v>
      </c>
      <c r="H199" s="449">
        <f t="shared" si="176"/>
        <v>527.61563999999998</v>
      </c>
      <c r="I199" s="338">
        <v>6.9000000000000006E-2</v>
      </c>
      <c r="J199" s="443">
        <f t="shared" si="177"/>
        <v>36.405479159999999</v>
      </c>
      <c r="K199" s="449">
        <f t="shared" si="178"/>
        <v>564.02111916000001</v>
      </c>
      <c r="L199" s="449">
        <f t="shared" ref="L199" si="185">K199*5.3%+K199</f>
        <v>593.91423847548003</v>
      </c>
      <c r="M199" s="449">
        <f t="shared" si="180"/>
        <v>625.98560735315596</v>
      </c>
      <c r="N199" s="449">
        <f t="shared" si="181"/>
        <v>688.58416808847153</v>
      </c>
      <c r="O199" s="764">
        <f t="shared" si="182"/>
        <v>723.01337649289508</v>
      </c>
      <c r="P199" s="764">
        <f t="shared" si="183"/>
        <v>761.33308544701856</v>
      </c>
      <c r="Q199" s="764">
        <f t="shared" si="184"/>
        <v>799.39973971936945</v>
      </c>
      <c r="R199" s="843">
        <f t="shared" si="146"/>
        <v>828.9775300889861</v>
      </c>
      <c r="S199" s="761">
        <f t="shared" si="147"/>
        <v>856.33378858192259</v>
      </c>
      <c r="T199" s="761">
        <f t="shared" si="148"/>
        <v>883.73646981654406</v>
      </c>
    </row>
    <row r="200" spans="1:20" ht="16" thickBot="1">
      <c r="A200" s="516" t="s">
        <v>1114</v>
      </c>
      <c r="B200" s="444" t="s">
        <v>1115</v>
      </c>
      <c r="C200" s="477">
        <v>6.25E-2</v>
      </c>
      <c r="D200" s="451" t="e">
        <f t="shared" si="174"/>
        <v>#VALUE!</v>
      </c>
      <c r="E200" s="794">
        <v>624.98</v>
      </c>
      <c r="F200" s="338">
        <v>6.9000000000000006E-2</v>
      </c>
      <c r="G200" s="478">
        <f t="shared" si="175"/>
        <v>43.123620000000003</v>
      </c>
      <c r="H200" s="449">
        <f t="shared" si="176"/>
        <v>668.10361999999998</v>
      </c>
      <c r="I200" s="338">
        <v>6.9000000000000006E-2</v>
      </c>
      <c r="J200" s="443">
        <f t="shared" si="177"/>
        <v>46.099149780000005</v>
      </c>
      <c r="K200" s="449">
        <f t="shared" si="178"/>
        <v>714.20276977999993</v>
      </c>
      <c r="L200" s="449">
        <f t="shared" ref="L200" si="186">K200*5.3%+K200</f>
        <v>752.05551657833996</v>
      </c>
      <c r="M200" s="449">
        <f t="shared" si="180"/>
        <v>792.66651447357037</v>
      </c>
      <c r="N200" s="449">
        <f t="shared" si="181"/>
        <v>871.93316592092742</v>
      </c>
      <c r="O200" s="764">
        <f t="shared" si="182"/>
        <v>915.52982421697379</v>
      </c>
      <c r="P200" s="764">
        <f t="shared" si="183"/>
        <v>964.05290490047344</v>
      </c>
      <c r="Q200" s="764">
        <f t="shared" si="184"/>
        <v>1012.2555501454971</v>
      </c>
      <c r="R200" s="843">
        <f t="shared" si="146"/>
        <v>1049.7090055008805</v>
      </c>
      <c r="S200" s="761">
        <f t="shared" si="147"/>
        <v>1084.3494026824096</v>
      </c>
      <c r="T200" s="761">
        <f t="shared" si="148"/>
        <v>1119.0485835682466</v>
      </c>
    </row>
    <row r="201" spans="1:20" ht="16" thickBot="1">
      <c r="A201" s="516" t="s">
        <v>1116</v>
      </c>
      <c r="B201" s="444" t="s">
        <v>1117</v>
      </c>
      <c r="C201" s="477">
        <v>6.25E-2</v>
      </c>
      <c r="D201" s="451" t="e">
        <f t="shared" si="174"/>
        <v>#VALUE!</v>
      </c>
      <c r="E201" s="794">
        <v>744.72</v>
      </c>
      <c r="F201" s="338">
        <v>6.9000000000000006E-2</v>
      </c>
      <c r="G201" s="478">
        <f t="shared" si="175"/>
        <v>51.385680000000008</v>
      </c>
      <c r="H201" s="449">
        <f t="shared" si="176"/>
        <v>796.10568000000001</v>
      </c>
      <c r="I201" s="338">
        <v>6.9000000000000006E-2</v>
      </c>
      <c r="J201" s="443">
        <f t="shared" si="177"/>
        <v>54.931291920000007</v>
      </c>
      <c r="K201" s="449">
        <f t="shared" si="178"/>
        <v>851.03697192000004</v>
      </c>
      <c r="L201" s="449">
        <f t="shared" ref="L201" si="187">K201*5.3%+K201</f>
        <v>896.14193143175999</v>
      </c>
      <c r="M201" s="449">
        <f t="shared" si="180"/>
        <v>944.53359572907505</v>
      </c>
      <c r="N201" s="449">
        <f t="shared" si="181"/>
        <v>1038.9869553019826</v>
      </c>
      <c r="O201" s="764">
        <f t="shared" si="182"/>
        <v>1090.9363030670818</v>
      </c>
      <c r="P201" s="764">
        <f t="shared" si="183"/>
        <v>1148.755927129637</v>
      </c>
      <c r="Q201" s="764">
        <f t="shared" si="184"/>
        <v>1206.1937234861189</v>
      </c>
      <c r="R201" s="843">
        <f t="shared" si="146"/>
        <v>1250.8228912551053</v>
      </c>
      <c r="S201" s="761">
        <f t="shared" si="147"/>
        <v>1292.1000466665239</v>
      </c>
      <c r="T201" s="761">
        <f t="shared" si="148"/>
        <v>1333.4472481598527</v>
      </c>
    </row>
    <row r="202" spans="1:20" ht="16" thickBot="1">
      <c r="A202" s="516" t="s">
        <v>1118</v>
      </c>
      <c r="B202" s="444" t="s">
        <v>1119</v>
      </c>
      <c r="C202" s="477">
        <v>6.25E-2</v>
      </c>
      <c r="D202" s="451" t="e">
        <f t="shared" si="174"/>
        <v>#VALUE!</v>
      </c>
      <c r="E202" s="794">
        <v>871.76</v>
      </c>
      <c r="F202" s="338">
        <v>6.9000000000000006E-2</v>
      </c>
      <c r="G202" s="478">
        <f t="shared" si="175"/>
        <v>60.151440000000001</v>
      </c>
      <c r="H202" s="449">
        <f t="shared" si="176"/>
        <v>931.91143999999997</v>
      </c>
      <c r="I202" s="338">
        <v>6.9000000000000006E-2</v>
      </c>
      <c r="J202" s="443">
        <f t="shared" si="177"/>
        <v>64.301889360000004</v>
      </c>
      <c r="K202" s="449">
        <f t="shared" si="178"/>
        <v>996.21332935999999</v>
      </c>
      <c r="L202" s="449">
        <f t="shared" ref="L202" si="188">K202*5.3%+K202</f>
        <v>1049.0126358160801</v>
      </c>
      <c r="M202" s="449">
        <f t="shared" si="180"/>
        <v>1105.6593181501485</v>
      </c>
      <c r="N202" s="449">
        <f t="shared" si="181"/>
        <v>1216.2252499651634</v>
      </c>
      <c r="O202" s="764">
        <f t="shared" si="182"/>
        <v>1277.0365124634216</v>
      </c>
      <c r="P202" s="764">
        <f t="shared" si="183"/>
        <v>1344.7194476239829</v>
      </c>
      <c r="Q202" s="764">
        <f t="shared" si="184"/>
        <v>1411.9554200051821</v>
      </c>
      <c r="R202" s="843">
        <f t="shared" si="146"/>
        <v>1464.1977705453737</v>
      </c>
      <c r="S202" s="761">
        <f t="shared" si="147"/>
        <v>1512.516296973371</v>
      </c>
      <c r="T202" s="761">
        <f t="shared" si="148"/>
        <v>1560.916818476519</v>
      </c>
    </row>
    <row r="203" spans="1:20" ht="16" thickBot="1">
      <c r="A203" s="516" t="s">
        <v>1120</v>
      </c>
      <c r="B203" s="444" t="s">
        <v>1121</v>
      </c>
      <c r="C203" s="477">
        <v>6.25E-2</v>
      </c>
      <c r="D203" s="451" t="e">
        <f t="shared" si="174"/>
        <v>#VALUE!</v>
      </c>
      <c r="E203" s="794">
        <v>997.33</v>
      </c>
      <c r="F203" s="338">
        <v>6.9000000000000006E-2</v>
      </c>
      <c r="G203" s="478">
        <f t="shared" si="175"/>
        <v>68.815770000000015</v>
      </c>
      <c r="H203" s="449">
        <f t="shared" si="176"/>
        <v>1066.1457700000001</v>
      </c>
      <c r="I203" s="338">
        <v>6.9000000000000006E-2</v>
      </c>
      <c r="J203" s="443">
        <f t="shared" si="177"/>
        <v>73.564058130000006</v>
      </c>
      <c r="K203" s="449">
        <f t="shared" si="178"/>
        <v>1139.70982813</v>
      </c>
      <c r="L203" s="449">
        <f t="shared" ref="L203" si="189">K203*5.3%+K203</f>
        <v>1200.1144490208901</v>
      </c>
      <c r="M203" s="449">
        <f t="shared" si="180"/>
        <v>1264.9206292680183</v>
      </c>
      <c r="N203" s="449">
        <f t="shared" si="181"/>
        <v>1391.41269219482</v>
      </c>
      <c r="O203" s="764">
        <f t="shared" si="182"/>
        <v>1460.9833268045611</v>
      </c>
      <c r="P203" s="764">
        <f t="shared" si="183"/>
        <v>1538.4154431252027</v>
      </c>
      <c r="Q203" s="764">
        <f t="shared" si="184"/>
        <v>1615.336215281463</v>
      </c>
      <c r="R203" s="843">
        <f t="shared" si="146"/>
        <v>1675.103655246877</v>
      </c>
      <c r="S203" s="761">
        <f t="shared" si="147"/>
        <v>1730.382075870024</v>
      </c>
      <c r="T203" s="761">
        <f t="shared" si="148"/>
        <v>1785.7543022978648</v>
      </c>
    </row>
    <row r="204" spans="1:20" ht="16" thickBot="1">
      <c r="A204" s="516" t="s">
        <v>1122</v>
      </c>
      <c r="B204" s="444" t="s">
        <v>1123</v>
      </c>
      <c r="C204" s="477">
        <v>6.25E-2</v>
      </c>
      <c r="D204" s="451" t="e">
        <f t="shared" si="174"/>
        <v>#VALUE!</v>
      </c>
      <c r="E204" s="794">
        <v>1244.1099999999999</v>
      </c>
      <c r="F204" s="338">
        <v>6.9000000000000006E-2</v>
      </c>
      <c r="G204" s="478">
        <f t="shared" si="175"/>
        <v>85.843590000000006</v>
      </c>
      <c r="H204" s="449">
        <f t="shared" si="176"/>
        <v>1329.9535899999998</v>
      </c>
      <c r="I204" s="338">
        <v>6.9000000000000006E-2</v>
      </c>
      <c r="J204" s="443">
        <f t="shared" si="177"/>
        <v>91.766797709999992</v>
      </c>
      <c r="K204" s="449">
        <f t="shared" si="178"/>
        <v>1421.7203877099998</v>
      </c>
      <c r="L204" s="449">
        <f t="shared" ref="L204" si="190">K204*5.3%+K204</f>
        <v>1497.0715682586299</v>
      </c>
      <c r="M204" s="449">
        <f t="shared" si="180"/>
        <v>1577.913432944596</v>
      </c>
      <c r="N204" s="449">
        <f t="shared" si="181"/>
        <v>1735.7047762390557</v>
      </c>
      <c r="O204" s="764">
        <f t="shared" si="182"/>
        <v>1822.4900150510084</v>
      </c>
      <c r="P204" s="764">
        <f t="shared" si="183"/>
        <v>1919.0819858487118</v>
      </c>
      <c r="Q204" s="764">
        <f t="shared" si="184"/>
        <v>2015.0360851411474</v>
      </c>
      <c r="R204" s="843">
        <f t="shared" si="146"/>
        <v>2089.5924202913698</v>
      </c>
      <c r="S204" s="761">
        <f t="shared" si="147"/>
        <v>2158.5489701609849</v>
      </c>
      <c r="T204" s="761">
        <f t="shared" si="148"/>
        <v>2227.6225372061363</v>
      </c>
    </row>
    <row r="205" spans="1:20">
      <c r="A205" s="424" t="s">
        <v>1124</v>
      </c>
      <c r="S205" s="761"/>
      <c r="T205" s="761"/>
    </row>
    <row r="206" spans="1:20">
      <c r="A206" s="428" t="s">
        <v>1125</v>
      </c>
      <c r="S206" s="761"/>
      <c r="T206" s="761"/>
    </row>
    <row r="207" spans="1:20" ht="16" thickBot="1">
      <c r="A207" s="428"/>
      <c r="S207" s="761"/>
      <c r="T207" s="761"/>
    </row>
    <row r="208" spans="1:20">
      <c r="A208" s="542" t="s">
        <v>1126</v>
      </c>
      <c r="B208" s="1156"/>
      <c r="C208" s="1156"/>
      <c r="D208" s="1156"/>
      <c r="E208" s="1156"/>
      <c r="F208" s="1156"/>
      <c r="G208" s="1156"/>
      <c r="H208" s="1156"/>
      <c r="I208" s="1156"/>
      <c r="J208" s="1156"/>
      <c r="K208" s="1157"/>
      <c r="L208" s="1145"/>
      <c r="M208" s="1146"/>
      <c r="N208" s="1146"/>
      <c r="O208" s="1146"/>
      <c r="P208" s="1146"/>
      <c r="Q208" s="1146"/>
      <c r="R208" s="351"/>
      <c r="S208" s="761"/>
      <c r="T208" s="761"/>
    </row>
    <row r="209" spans="1:20">
      <c r="A209" s="543" t="s">
        <v>917</v>
      </c>
      <c r="B209" s="1158"/>
      <c r="C209" s="1158"/>
      <c r="D209" s="1158"/>
      <c r="E209" s="1158"/>
      <c r="F209" s="1158"/>
      <c r="G209" s="1158"/>
      <c r="H209" s="1158"/>
      <c r="I209" s="1158"/>
      <c r="J209" s="1158"/>
      <c r="K209" s="1159"/>
      <c r="L209" s="1145"/>
      <c r="M209" s="1146"/>
      <c r="N209" s="1146"/>
      <c r="O209" s="1146"/>
      <c r="P209" s="1146"/>
      <c r="Q209" s="1146"/>
      <c r="R209" s="351"/>
      <c r="S209" s="761"/>
      <c r="T209" s="761"/>
    </row>
    <row r="210" spans="1:20" ht="16" thickBot="1">
      <c r="A210" s="544" t="s">
        <v>1127</v>
      </c>
      <c r="B210" s="1135"/>
      <c r="C210" s="1135"/>
      <c r="D210" s="1135"/>
      <c r="E210" s="1135"/>
      <c r="F210" s="1135"/>
      <c r="G210" s="1135"/>
      <c r="H210" s="1135"/>
      <c r="I210" s="1135"/>
      <c r="J210" s="1135"/>
      <c r="K210" s="1160"/>
      <c r="L210" s="1145"/>
      <c r="M210" s="1146"/>
      <c r="N210" s="1146"/>
      <c r="O210" s="1146"/>
      <c r="P210" s="1146"/>
      <c r="Q210" s="1146"/>
      <c r="R210" s="351"/>
      <c r="S210" s="761"/>
      <c r="T210" s="761"/>
    </row>
    <row r="211" spans="1:20" ht="16" thickBot="1">
      <c r="A211" s="545"/>
      <c r="B211" s="1161"/>
      <c r="C211" s="1162"/>
      <c r="D211" s="546" t="s">
        <v>919</v>
      </c>
      <c r="E211" s="808" t="s">
        <v>918</v>
      </c>
      <c r="F211" s="547"/>
      <c r="G211" s="332"/>
      <c r="H211" s="548" t="s">
        <v>918</v>
      </c>
      <c r="I211" s="549"/>
      <c r="J211" s="550"/>
      <c r="K211" s="531" t="s">
        <v>918</v>
      </c>
      <c r="L211" s="531" t="s">
        <v>918</v>
      </c>
      <c r="M211" s="531" t="s">
        <v>918</v>
      </c>
      <c r="N211" s="531" t="s">
        <v>918</v>
      </c>
      <c r="O211" s="548" t="s">
        <v>918</v>
      </c>
      <c r="P211" s="548" t="s">
        <v>918</v>
      </c>
      <c r="Q211" s="548" t="s">
        <v>918</v>
      </c>
      <c r="R211" s="854" t="s">
        <v>918</v>
      </c>
      <c r="S211" s="867" t="s">
        <v>918</v>
      </c>
      <c r="T211" s="867" t="s">
        <v>918</v>
      </c>
    </row>
    <row r="212" spans="1:20" ht="16" thickBot="1">
      <c r="A212" s="545"/>
      <c r="B212" s="551" t="s">
        <v>1128</v>
      </c>
      <c r="C212" s="552" t="s">
        <v>1129</v>
      </c>
      <c r="D212" s="546" t="s">
        <v>921</v>
      </c>
      <c r="E212" s="799" t="s">
        <v>436</v>
      </c>
      <c r="F212" s="547"/>
      <c r="G212" s="332"/>
      <c r="H212" s="553" t="s">
        <v>437</v>
      </c>
      <c r="I212" s="554"/>
      <c r="J212" s="555"/>
      <c r="K212" s="556" t="s">
        <v>438</v>
      </c>
      <c r="L212" s="529" t="s">
        <v>439</v>
      </c>
      <c r="M212" s="529" t="s">
        <v>304</v>
      </c>
      <c r="N212" s="529" t="s">
        <v>305</v>
      </c>
      <c r="O212" s="771" t="s">
        <v>306</v>
      </c>
      <c r="P212" s="771" t="s">
        <v>308</v>
      </c>
      <c r="Q212" s="771" t="s">
        <v>308</v>
      </c>
      <c r="R212" s="853" t="s">
        <v>309</v>
      </c>
      <c r="S212" s="868" t="s">
        <v>310</v>
      </c>
      <c r="T212" s="868" t="s">
        <v>1248</v>
      </c>
    </row>
    <row r="213" spans="1:20" ht="16" thickBot="1">
      <c r="A213" s="545" t="s">
        <v>1130</v>
      </c>
      <c r="B213" s="557" t="s">
        <v>1131</v>
      </c>
      <c r="C213" s="558">
        <v>300</v>
      </c>
      <c r="D213" s="477">
        <v>6.25E-2</v>
      </c>
      <c r="E213" s="800">
        <v>362.04</v>
      </c>
      <c r="F213" s="338">
        <v>6.9000000000000006E-2</v>
      </c>
      <c r="G213" s="478">
        <f t="shared" ref="G213:G218" si="191">E213*F213</f>
        <v>24.980760000000004</v>
      </c>
      <c r="H213" s="449">
        <f t="shared" ref="H213:H218" si="192">E213+G213</f>
        <v>387.02076</v>
      </c>
      <c r="I213" s="338">
        <v>6.9000000000000006E-2</v>
      </c>
      <c r="J213" s="443">
        <f t="shared" ref="J213:J218" si="193">H213*I213</f>
        <v>26.704432440000001</v>
      </c>
      <c r="K213" s="449">
        <f>J213+H213</f>
        <v>413.72519244</v>
      </c>
      <c r="L213" s="449">
        <f t="shared" ref="L213" si="194">K213*5.3%+K213</f>
        <v>435.65262763931997</v>
      </c>
      <c r="M213" s="449">
        <f t="shared" ref="M213:M218" si="195">L213*5.4%+L213</f>
        <v>459.17786953184327</v>
      </c>
      <c r="N213" s="449">
        <f t="shared" ref="N213:N218" si="196">M213*10%+M213</f>
        <v>505.09565648502758</v>
      </c>
      <c r="O213" s="764">
        <f t="shared" ref="O213:O218" si="197">N213*5%+N213</f>
        <v>530.35043930927895</v>
      </c>
      <c r="P213" s="764">
        <f t="shared" ref="P213:P218" si="198">O213+O213*5.3%</f>
        <v>558.45901259267077</v>
      </c>
      <c r="Q213" s="764">
        <f t="shared" ref="Q213:Q218" si="199">P213+P213*5%</f>
        <v>586.38196322230431</v>
      </c>
      <c r="R213" s="847">
        <f t="shared" ref="R213:R218" si="200">Q213+Q213*3.7%</f>
        <v>608.07809586152962</v>
      </c>
      <c r="S213" s="761">
        <f t="shared" ref="S213:S218" si="201">R213+R213*3.3%</f>
        <v>628.14467302496007</v>
      </c>
      <c r="T213" s="761">
        <f t="shared" ref="T213:T218" si="202">S213+S213*3.2%</f>
        <v>648.24530256175876</v>
      </c>
    </row>
    <row r="214" spans="1:20" ht="16" thickBot="1">
      <c r="A214" s="545" t="s">
        <v>1132</v>
      </c>
      <c r="B214" s="557" t="s">
        <v>1133</v>
      </c>
      <c r="C214" s="558">
        <v>1150</v>
      </c>
      <c r="D214" s="477">
        <v>6.25E-2</v>
      </c>
      <c r="E214" s="800">
        <v>138.16</v>
      </c>
      <c r="F214" s="338">
        <v>6.9000000000000006E-2</v>
      </c>
      <c r="G214" s="478">
        <f t="shared" si="191"/>
        <v>9.5330399999999997</v>
      </c>
      <c r="H214" s="449">
        <f t="shared" si="192"/>
        <v>147.69304</v>
      </c>
      <c r="I214" s="338">
        <v>6.9000000000000006E-2</v>
      </c>
      <c r="J214" s="443">
        <f t="shared" si="193"/>
        <v>10.19081976</v>
      </c>
      <c r="K214" s="449">
        <f>H214+J214</f>
        <v>157.88385976000001</v>
      </c>
      <c r="L214" s="449">
        <f t="shared" ref="L214" si="203">K214*5.3%+K214</f>
        <v>166.25170432728001</v>
      </c>
      <c r="M214" s="449">
        <f t="shared" si="195"/>
        <v>175.22929636095313</v>
      </c>
      <c r="N214" s="449">
        <f t="shared" si="196"/>
        <v>192.75222599704844</v>
      </c>
      <c r="O214" s="764">
        <f t="shared" si="197"/>
        <v>202.38983729690085</v>
      </c>
      <c r="P214" s="764">
        <f t="shared" si="198"/>
        <v>213.11649867363658</v>
      </c>
      <c r="Q214" s="764">
        <f t="shared" si="199"/>
        <v>223.77232360731841</v>
      </c>
      <c r="R214" s="847">
        <f t="shared" si="200"/>
        <v>232.05189958078918</v>
      </c>
      <c r="S214" s="761">
        <f t="shared" si="201"/>
        <v>239.70961226695522</v>
      </c>
      <c r="T214" s="761">
        <f t="shared" si="202"/>
        <v>247.38031985949777</v>
      </c>
    </row>
    <row r="215" spans="1:20" ht="16" thickBot="1">
      <c r="A215" s="545" t="s">
        <v>1134</v>
      </c>
      <c r="B215" s="557" t="s">
        <v>1135</v>
      </c>
      <c r="C215" s="558">
        <v>550</v>
      </c>
      <c r="D215" s="477">
        <v>6.25E-2</v>
      </c>
      <c r="E215" s="800">
        <v>663.74</v>
      </c>
      <c r="F215" s="338">
        <v>6.9000000000000006E-2</v>
      </c>
      <c r="G215" s="478">
        <f t="shared" si="191"/>
        <v>45.798060000000007</v>
      </c>
      <c r="H215" s="449">
        <f t="shared" si="192"/>
        <v>709.53805999999997</v>
      </c>
      <c r="I215" s="338">
        <v>6.9000000000000006E-2</v>
      </c>
      <c r="J215" s="443">
        <f t="shared" si="193"/>
        <v>48.958126140000005</v>
      </c>
      <c r="K215" s="449">
        <f>H215+J215</f>
        <v>758.49618613999996</v>
      </c>
      <c r="L215" s="449">
        <f t="shared" ref="L215" si="204">K215*5.3%+K215</f>
        <v>798.69648400541996</v>
      </c>
      <c r="M215" s="449">
        <f t="shared" si="195"/>
        <v>841.8260941417127</v>
      </c>
      <c r="N215" s="449">
        <f t="shared" si="196"/>
        <v>926.00870355588404</v>
      </c>
      <c r="O215" s="764">
        <f t="shared" si="197"/>
        <v>972.3091387336782</v>
      </c>
      <c r="P215" s="764">
        <f t="shared" si="198"/>
        <v>1023.8415230865631</v>
      </c>
      <c r="Q215" s="764">
        <f t="shared" si="199"/>
        <v>1075.0335992408914</v>
      </c>
      <c r="R215" s="847">
        <f t="shared" si="200"/>
        <v>1114.8098424128043</v>
      </c>
      <c r="S215" s="761">
        <f t="shared" si="201"/>
        <v>1151.5985672124268</v>
      </c>
      <c r="T215" s="761">
        <f t="shared" si="202"/>
        <v>1188.4497213632244</v>
      </c>
    </row>
    <row r="216" spans="1:20" ht="16" thickBot="1">
      <c r="A216" s="545" t="s">
        <v>1136</v>
      </c>
      <c r="B216" s="557" t="s">
        <v>1131</v>
      </c>
      <c r="C216" s="558">
        <v>450</v>
      </c>
      <c r="D216" s="477">
        <v>6.25E-2</v>
      </c>
      <c r="E216" s="800">
        <v>543.05999999999995</v>
      </c>
      <c r="F216" s="338">
        <v>6.9000000000000006E-2</v>
      </c>
      <c r="G216" s="478">
        <f t="shared" si="191"/>
        <v>37.471139999999998</v>
      </c>
      <c r="H216" s="449">
        <f t="shared" si="192"/>
        <v>580.53113999999994</v>
      </c>
      <c r="I216" s="338">
        <v>6.9000000000000006E-2</v>
      </c>
      <c r="J216" s="443">
        <f t="shared" si="193"/>
        <v>40.05664866</v>
      </c>
      <c r="K216" s="449">
        <f>H216+J216</f>
        <v>620.58778865999989</v>
      </c>
      <c r="L216" s="449">
        <f t="shared" ref="L216" si="205">K216*5.3%+K216</f>
        <v>653.47894145897988</v>
      </c>
      <c r="M216" s="449">
        <f t="shared" si="195"/>
        <v>688.76680429776479</v>
      </c>
      <c r="N216" s="449">
        <f t="shared" si="196"/>
        <v>757.64348472754125</v>
      </c>
      <c r="O216" s="764">
        <f t="shared" si="197"/>
        <v>795.52565896391832</v>
      </c>
      <c r="P216" s="764">
        <f t="shared" si="198"/>
        <v>837.68851888900599</v>
      </c>
      <c r="Q216" s="764">
        <f t="shared" si="199"/>
        <v>879.57294483345629</v>
      </c>
      <c r="R216" s="847">
        <f t="shared" si="200"/>
        <v>912.1171437922942</v>
      </c>
      <c r="S216" s="761">
        <f t="shared" si="201"/>
        <v>942.21700953743994</v>
      </c>
      <c r="T216" s="761">
        <f t="shared" si="202"/>
        <v>972.36795384263803</v>
      </c>
    </row>
    <row r="217" spans="1:20" ht="16" thickBot="1">
      <c r="A217" s="545" t="s">
        <v>1137</v>
      </c>
      <c r="B217" s="557" t="s">
        <v>1138</v>
      </c>
      <c r="C217" s="558">
        <v>650</v>
      </c>
      <c r="D217" s="477">
        <v>6.25E-2</v>
      </c>
      <c r="E217" s="800">
        <v>784.42</v>
      </c>
      <c r="F217" s="338">
        <v>6.9000000000000006E-2</v>
      </c>
      <c r="G217" s="478">
        <f t="shared" si="191"/>
        <v>54.124980000000001</v>
      </c>
      <c r="H217" s="449">
        <f t="shared" si="192"/>
        <v>838.54498000000001</v>
      </c>
      <c r="I217" s="338">
        <v>6.9000000000000006E-2</v>
      </c>
      <c r="J217" s="443">
        <f t="shared" si="193"/>
        <v>57.859603620000009</v>
      </c>
      <c r="K217" s="449">
        <f>H217+J217</f>
        <v>896.40458362000004</v>
      </c>
      <c r="L217" s="449">
        <f t="shared" ref="L217" si="206">K217*5.3%+K217</f>
        <v>943.91402655186005</v>
      </c>
      <c r="M217" s="449">
        <f t="shared" si="195"/>
        <v>994.8853839856605</v>
      </c>
      <c r="N217" s="449">
        <f t="shared" si="196"/>
        <v>1094.3739223842265</v>
      </c>
      <c r="O217" s="764">
        <f t="shared" si="197"/>
        <v>1149.0926185034377</v>
      </c>
      <c r="P217" s="764">
        <f t="shared" si="198"/>
        <v>1209.9945272841198</v>
      </c>
      <c r="Q217" s="764">
        <f t="shared" si="199"/>
        <v>1270.4942536483259</v>
      </c>
      <c r="R217" s="847">
        <f t="shared" si="200"/>
        <v>1317.5025410333139</v>
      </c>
      <c r="S217" s="761">
        <f t="shared" si="201"/>
        <v>1360.9801248874132</v>
      </c>
      <c r="T217" s="761">
        <f t="shared" si="202"/>
        <v>1404.5314888838104</v>
      </c>
    </row>
    <row r="218" spans="1:20" ht="16" thickBot="1">
      <c r="A218" s="545" t="s">
        <v>1139</v>
      </c>
      <c r="B218" s="557" t="s">
        <v>1133</v>
      </c>
      <c r="C218" s="559">
        <v>1500</v>
      </c>
      <c r="D218" s="477">
        <v>6.25E-2</v>
      </c>
      <c r="E218" s="801">
        <v>1810.2</v>
      </c>
      <c r="F218" s="338">
        <v>6.9000000000000006E-2</v>
      </c>
      <c r="G218" s="478">
        <f t="shared" si="191"/>
        <v>124.90380000000002</v>
      </c>
      <c r="H218" s="487">
        <f t="shared" si="192"/>
        <v>1935.1038000000001</v>
      </c>
      <c r="I218" s="338">
        <v>6.9000000000000006E-2</v>
      </c>
      <c r="J218" s="452">
        <f t="shared" si="193"/>
        <v>133.52216220000003</v>
      </c>
      <c r="K218" s="487">
        <f>H218+J218</f>
        <v>2068.6259622000002</v>
      </c>
      <c r="L218" s="487">
        <f t="shared" ref="L218" si="207">K218*5.3%+K218</f>
        <v>2178.2631381966003</v>
      </c>
      <c r="M218" s="487">
        <f t="shared" si="195"/>
        <v>2295.8893476592166</v>
      </c>
      <c r="N218" s="487">
        <f t="shared" si="196"/>
        <v>2525.4782824251383</v>
      </c>
      <c r="O218" s="638">
        <f t="shared" si="197"/>
        <v>2651.7521965463952</v>
      </c>
      <c r="P218" s="638">
        <f t="shared" si="198"/>
        <v>2792.2950629633542</v>
      </c>
      <c r="Q218" s="638">
        <f t="shared" si="199"/>
        <v>2931.9098161115221</v>
      </c>
      <c r="R218" s="847">
        <f t="shared" si="200"/>
        <v>3040.3904793076485</v>
      </c>
      <c r="S218" s="761">
        <f t="shared" si="201"/>
        <v>3140.7233651248011</v>
      </c>
      <c r="T218" s="761">
        <f t="shared" si="202"/>
        <v>3241.2265128087947</v>
      </c>
    </row>
    <row r="219" spans="1:20" ht="16" thickBot="1">
      <c r="A219" s="560"/>
      <c r="B219" s="561"/>
      <c r="C219" s="562" t="s">
        <v>1140</v>
      </c>
      <c r="E219" s="809"/>
      <c r="F219" s="460"/>
      <c r="G219" s="461"/>
      <c r="H219" s="462"/>
      <c r="I219" s="460"/>
      <c r="J219" s="355"/>
      <c r="K219" s="463"/>
      <c r="L219" s="463"/>
      <c r="M219" s="463"/>
      <c r="N219" s="462"/>
      <c r="O219" s="463"/>
      <c r="P219" s="463"/>
      <c r="Q219" s="462"/>
      <c r="R219" s="849"/>
      <c r="S219" s="761"/>
      <c r="T219" s="761"/>
    </row>
    <row r="220" spans="1:20" ht="16" thickBot="1">
      <c r="A220" s="1131" t="s">
        <v>1141</v>
      </c>
      <c r="B220" s="1132"/>
      <c r="C220" s="1132"/>
      <c r="D220" s="1132"/>
      <c r="E220" s="1132"/>
      <c r="F220" s="1132"/>
      <c r="G220" s="1132"/>
      <c r="H220" s="1132"/>
      <c r="I220" s="1132"/>
      <c r="J220" s="1132"/>
      <c r="K220" s="1133"/>
      <c r="L220" s="1131"/>
      <c r="M220" s="1132"/>
      <c r="N220" s="1132"/>
      <c r="O220" s="1147"/>
      <c r="P220" s="1147"/>
      <c r="Q220" s="1147"/>
      <c r="R220" s="351"/>
    </row>
    <row r="221" spans="1:20" ht="16" thickBot="1">
      <c r="A221" s="1163"/>
      <c r="B221" s="1164"/>
      <c r="C221" s="1165"/>
      <c r="D221" s="355"/>
      <c r="E221" s="789"/>
      <c r="F221" s="460"/>
      <c r="G221" s="461"/>
      <c r="H221" s="462"/>
      <c r="I221" s="460"/>
      <c r="J221" s="355"/>
      <c r="K221" s="463"/>
      <c r="L221" s="463"/>
      <c r="M221" s="463"/>
      <c r="N221" s="463"/>
      <c r="O221" s="462"/>
      <c r="P221" s="462"/>
      <c r="Q221" s="462"/>
      <c r="R221" s="849"/>
    </row>
    <row r="222" spans="1:20" ht="16" thickBot="1">
      <c r="A222" s="545"/>
      <c r="B222" s="551" t="s">
        <v>1128</v>
      </c>
      <c r="C222" s="563" t="s">
        <v>1129</v>
      </c>
      <c r="D222" s="564"/>
      <c r="E222" s="810" t="s">
        <v>436</v>
      </c>
      <c r="F222" s="565" t="s">
        <v>1129</v>
      </c>
      <c r="G222" s="332"/>
      <c r="H222" s="531" t="s">
        <v>437</v>
      </c>
      <c r="I222" s="549"/>
      <c r="J222" s="550"/>
      <c r="K222" s="531" t="s">
        <v>438</v>
      </c>
      <c r="L222" s="529" t="s">
        <v>439</v>
      </c>
      <c r="M222" s="529" t="s">
        <v>304</v>
      </c>
      <c r="N222" s="529" t="s">
        <v>305</v>
      </c>
      <c r="O222" s="771" t="s">
        <v>306</v>
      </c>
      <c r="P222" s="771" t="s">
        <v>308</v>
      </c>
      <c r="Q222" s="771" t="s">
        <v>308</v>
      </c>
      <c r="R222" s="853" t="s">
        <v>309</v>
      </c>
      <c r="S222" s="869" t="s">
        <v>310</v>
      </c>
      <c r="T222" s="869" t="s">
        <v>1248</v>
      </c>
    </row>
    <row r="223" spans="1:20" ht="16" thickBot="1">
      <c r="A223" s="545" t="s">
        <v>1142</v>
      </c>
      <c r="B223" s="557" t="s">
        <v>1143</v>
      </c>
      <c r="C223" s="558">
        <v>1000</v>
      </c>
      <c r="D223" s="450">
        <v>6.25E-2</v>
      </c>
      <c r="E223" s="800">
        <v>1206.8</v>
      </c>
      <c r="F223" s="338">
        <v>6.9000000000000006E-2</v>
      </c>
      <c r="G223" s="478">
        <f t="shared" ref="G223:G230" si="208">E223*F223</f>
        <v>83.269199999999998</v>
      </c>
      <c r="H223" s="449">
        <f t="shared" ref="H223:H230" si="209">E223+G223</f>
        <v>1290.0691999999999</v>
      </c>
      <c r="I223" s="338">
        <v>6.9000000000000006E-2</v>
      </c>
      <c r="J223" s="443">
        <f t="shared" ref="J223:J230" si="210">H223*I223</f>
        <v>89.014774799999998</v>
      </c>
      <c r="K223" s="449">
        <f t="shared" ref="K223:K230" si="211">H223+J223</f>
        <v>1379.0839747999999</v>
      </c>
      <c r="L223" s="449">
        <f t="shared" ref="L223" si="212">K223*5.3%+K223</f>
        <v>1452.1754254643997</v>
      </c>
      <c r="M223" s="449">
        <f t="shared" ref="M223:M230" si="213">L223*5.4%+L223</f>
        <v>1530.5928984394773</v>
      </c>
      <c r="N223" s="449">
        <f t="shared" ref="N223:N230" si="214">M223*10%+M223</f>
        <v>1683.6521882834249</v>
      </c>
      <c r="O223" s="764">
        <f t="shared" ref="O223:O230" si="215">N223*5%+N223</f>
        <v>1767.8347976975963</v>
      </c>
      <c r="P223" s="764">
        <f t="shared" ref="P223:P230" si="216">O223+O223*5.3%</f>
        <v>1861.5300419755688</v>
      </c>
      <c r="Q223" s="764">
        <f t="shared" ref="Q223:Q230" si="217">P223+P223*5%</f>
        <v>1954.6065440743473</v>
      </c>
      <c r="R223" s="847">
        <f t="shared" ref="R223:R230" si="218">Q223+Q223*3.7%</f>
        <v>2026.9269862050983</v>
      </c>
      <c r="S223" s="345">
        <f t="shared" ref="S223:S230" si="219">R223+R223*3.3%</f>
        <v>2093.8155767498665</v>
      </c>
      <c r="T223" s="345">
        <f t="shared" ref="T223:T230" si="220">S223+S223*3.2%</f>
        <v>2160.8176752058621</v>
      </c>
    </row>
    <row r="224" spans="1:20" ht="16" thickBot="1">
      <c r="A224" s="545" t="s">
        <v>1144</v>
      </c>
      <c r="B224" s="557" t="s">
        <v>1145</v>
      </c>
      <c r="C224" s="558">
        <v>1800</v>
      </c>
      <c r="D224" s="450">
        <v>6.25E-2</v>
      </c>
      <c r="E224" s="800">
        <v>2172.2399999999998</v>
      </c>
      <c r="F224" s="338">
        <v>6.9000000000000006E-2</v>
      </c>
      <c r="G224" s="478">
        <f t="shared" si="208"/>
        <v>149.88455999999999</v>
      </c>
      <c r="H224" s="449">
        <f t="shared" si="209"/>
        <v>2322.1245599999997</v>
      </c>
      <c r="I224" s="338">
        <v>6.9000000000000006E-2</v>
      </c>
      <c r="J224" s="443">
        <f t="shared" si="210"/>
        <v>160.22659464</v>
      </c>
      <c r="K224" s="449">
        <f t="shared" si="211"/>
        <v>2482.3511546399995</v>
      </c>
      <c r="L224" s="449">
        <f t="shared" ref="L224" si="221">K224*5.3%+K224</f>
        <v>2613.9157658359195</v>
      </c>
      <c r="M224" s="449">
        <f t="shared" si="213"/>
        <v>2755.0672171910592</v>
      </c>
      <c r="N224" s="449">
        <f t="shared" si="214"/>
        <v>3030.573938910165</v>
      </c>
      <c r="O224" s="764">
        <f t="shared" si="215"/>
        <v>3182.1026358556733</v>
      </c>
      <c r="P224" s="764">
        <f t="shared" si="216"/>
        <v>3350.754075556024</v>
      </c>
      <c r="Q224" s="764">
        <f t="shared" si="217"/>
        <v>3518.2917793338252</v>
      </c>
      <c r="R224" s="847">
        <f t="shared" si="218"/>
        <v>3648.4685751691768</v>
      </c>
      <c r="S224" s="345">
        <f t="shared" si="219"/>
        <v>3768.8680381497597</v>
      </c>
      <c r="T224" s="345">
        <f t="shared" si="220"/>
        <v>3889.4718153705521</v>
      </c>
    </row>
    <row r="225" spans="1:20" ht="16" thickBot="1">
      <c r="A225" s="545" t="s">
        <v>1146</v>
      </c>
      <c r="B225" s="557" t="s">
        <v>1147</v>
      </c>
      <c r="C225" s="558">
        <v>3000</v>
      </c>
      <c r="D225" s="450">
        <v>6.25E-2</v>
      </c>
      <c r="E225" s="800">
        <v>3620.4</v>
      </c>
      <c r="F225" s="338">
        <v>6.9000000000000006E-2</v>
      </c>
      <c r="G225" s="478">
        <f t="shared" si="208"/>
        <v>249.80760000000004</v>
      </c>
      <c r="H225" s="449">
        <f t="shared" si="209"/>
        <v>3870.2076000000002</v>
      </c>
      <c r="I225" s="338">
        <v>6.9000000000000006E-2</v>
      </c>
      <c r="J225" s="443">
        <f t="shared" si="210"/>
        <v>267.04432440000005</v>
      </c>
      <c r="K225" s="449">
        <f t="shared" si="211"/>
        <v>4137.2519244000005</v>
      </c>
      <c r="L225" s="449">
        <f t="shared" ref="L225" si="222">K225*5.3%+K225</f>
        <v>4356.5262763932005</v>
      </c>
      <c r="M225" s="449">
        <f t="shared" si="213"/>
        <v>4591.7786953184332</v>
      </c>
      <c r="N225" s="449">
        <f t="shared" si="214"/>
        <v>5050.9565648502767</v>
      </c>
      <c r="O225" s="764">
        <f t="shared" si="215"/>
        <v>5303.5043930927905</v>
      </c>
      <c r="P225" s="764">
        <f t="shared" si="216"/>
        <v>5584.5901259267084</v>
      </c>
      <c r="Q225" s="764">
        <f t="shared" si="217"/>
        <v>5863.8196322230442</v>
      </c>
      <c r="R225" s="847">
        <f t="shared" si="218"/>
        <v>6080.7809586152971</v>
      </c>
      <c r="S225" s="345">
        <f t="shared" si="219"/>
        <v>6281.4467302496023</v>
      </c>
      <c r="T225" s="345">
        <f t="shared" si="220"/>
        <v>6482.4530256175894</v>
      </c>
    </row>
    <row r="226" spans="1:20" ht="16" thickBot="1">
      <c r="A226" s="545" t="s">
        <v>1148</v>
      </c>
      <c r="B226" s="557" t="s">
        <v>1145</v>
      </c>
      <c r="C226" s="558">
        <v>1100</v>
      </c>
      <c r="D226" s="450">
        <v>6.25E-2</v>
      </c>
      <c r="E226" s="800">
        <v>3485.53</v>
      </c>
      <c r="F226" s="338">
        <v>6.9000000000000006E-2</v>
      </c>
      <c r="G226" s="478">
        <f t="shared" si="208"/>
        <v>240.50157000000004</v>
      </c>
      <c r="H226" s="449">
        <f t="shared" si="209"/>
        <v>3726.0315700000001</v>
      </c>
      <c r="I226" s="338">
        <v>6.9000000000000006E-2</v>
      </c>
      <c r="J226" s="443">
        <f t="shared" si="210"/>
        <v>257.09617833000004</v>
      </c>
      <c r="K226" s="449">
        <f t="shared" si="211"/>
        <v>3983.12774833</v>
      </c>
      <c r="L226" s="449">
        <f t="shared" ref="L226" si="223">K226*5.3%+K226</f>
        <v>4194.2335189914902</v>
      </c>
      <c r="M226" s="449">
        <f t="shared" si="213"/>
        <v>4420.722129017031</v>
      </c>
      <c r="N226" s="449">
        <f t="shared" si="214"/>
        <v>4862.7943419187341</v>
      </c>
      <c r="O226" s="764">
        <f t="shared" si="215"/>
        <v>5105.9340590146712</v>
      </c>
      <c r="P226" s="764">
        <f t="shared" si="216"/>
        <v>5376.5485641424484</v>
      </c>
      <c r="Q226" s="764">
        <f t="shared" si="217"/>
        <v>5645.3759923495709</v>
      </c>
      <c r="R226" s="847">
        <f t="shared" si="218"/>
        <v>5854.2549040665053</v>
      </c>
      <c r="S226" s="345">
        <f t="shared" si="219"/>
        <v>6047.4453159006998</v>
      </c>
      <c r="T226" s="345">
        <f t="shared" si="220"/>
        <v>6240.9635660095219</v>
      </c>
    </row>
    <row r="227" spans="1:20" ht="16" thickBot="1">
      <c r="A227" s="545" t="s">
        <v>1149</v>
      </c>
      <c r="B227" s="557" t="s">
        <v>1150</v>
      </c>
      <c r="C227" s="558">
        <v>3000</v>
      </c>
      <c r="D227" s="450">
        <v>6.25E-2</v>
      </c>
      <c r="E227" s="800">
        <v>3620.4</v>
      </c>
      <c r="F227" s="338">
        <v>6.9000000000000006E-2</v>
      </c>
      <c r="G227" s="478">
        <f t="shared" si="208"/>
        <v>249.80760000000004</v>
      </c>
      <c r="H227" s="449">
        <f t="shared" si="209"/>
        <v>3870.2076000000002</v>
      </c>
      <c r="I227" s="338">
        <v>6.9000000000000006E-2</v>
      </c>
      <c r="J227" s="443">
        <f t="shared" si="210"/>
        <v>267.04432440000005</v>
      </c>
      <c r="K227" s="449">
        <f t="shared" si="211"/>
        <v>4137.2519244000005</v>
      </c>
      <c r="L227" s="449">
        <f t="shared" ref="L227" si="224">K227*5.3%+K227</f>
        <v>4356.5262763932005</v>
      </c>
      <c r="M227" s="449">
        <f t="shared" si="213"/>
        <v>4591.7786953184332</v>
      </c>
      <c r="N227" s="449">
        <f t="shared" si="214"/>
        <v>5050.9565648502767</v>
      </c>
      <c r="O227" s="764">
        <f t="shared" si="215"/>
        <v>5303.5043930927905</v>
      </c>
      <c r="P227" s="764">
        <f t="shared" si="216"/>
        <v>5584.5901259267084</v>
      </c>
      <c r="Q227" s="764">
        <f t="shared" si="217"/>
        <v>5863.8196322230442</v>
      </c>
      <c r="R227" s="847">
        <f t="shared" si="218"/>
        <v>6080.7809586152971</v>
      </c>
      <c r="S227" s="345">
        <f t="shared" si="219"/>
        <v>6281.4467302496023</v>
      </c>
      <c r="T227" s="345">
        <f t="shared" si="220"/>
        <v>6482.4530256175894</v>
      </c>
    </row>
    <row r="228" spans="1:20" ht="16" thickBot="1">
      <c r="A228" s="545" t="s">
        <v>1151</v>
      </c>
      <c r="B228" s="557" t="s">
        <v>1152</v>
      </c>
      <c r="C228" s="558">
        <v>6000</v>
      </c>
      <c r="D228" s="450">
        <v>6.25E-2</v>
      </c>
      <c r="E228" s="800">
        <v>7240.81</v>
      </c>
      <c r="F228" s="338">
        <v>6.9000000000000006E-2</v>
      </c>
      <c r="G228" s="478">
        <f t="shared" si="208"/>
        <v>499.61589000000009</v>
      </c>
      <c r="H228" s="449">
        <f t="shared" si="209"/>
        <v>7740.4258900000004</v>
      </c>
      <c r="I228" s="338">
        <v>6.9000000000000006E-2</v>
      </c>
      <c r="J228" s="443">
        <f t="shared" si="210"/>
        <v>534.08938641000009</v>
      </c>
      <c r="K228" s="449">
        <f t="shared" si="211"/>
        <v>8274.5152764100003</v>
      </c>
      <c r="L228" s="449">
        <f t="shared" ref="L228" si="225">K228*5.3%+K228</f>
        <v>8713.0645860597306</v>
      </c>
      <c r="M228" s="449">
        <f t="shared" si="213"/>
        <v>9183.5700737069565</v>
      </c>
      <c r="N228" s="449">
        <f t="shared" si="214"/>
        <v>10101.927081077652</v>
      </c>
      <c r="O228" s="764">
        <f t="shared" si="215"/>
        <v>10607.023435131536</v>
      </c>
      <c r="P228" s="764">
        <f t="shared" si="216"/>
        <v>11169.195677193507</v>
      </c>
      <c r="Q228" s="764">
        <f t="shared" si="217"/>
        <v>11727.655461053182</v>
      </c>
      <c r="R228" s="847">
        <f t="shared" si="218"/>
        <v>12161.578713112151</v>
      </c>
      <c r="S228" s="345">
        <f t="shared" si="219"/>
        <v>12562.910810644851</v>
      </c>
      <c r="T228" s="345">
        <f t="shared" si="220"/>
        <v>12964.923956585486</v>
      </c>
    </row>
    <row r="229" spans="1:20" ht="16" thickBot="1">
      <c r="A229" s="545" t="s">
        <v>1153</v>
      </c>
      <c r="B229" s="557" t="s">
        <v>1143</v>
      </c>
      <c r="C229" s="558">
        <v>1500</v>
      </c>
      <c r="D229" s="450">
        <v>6.25E-2</v>
      </c>
      <c r="E229" s="800">
        <v>181.2</v>
      </c>
      <c r="F229" s="338">
        <v>6.9000000000000006E-2</v>
      </c>
      <c r="G229" s="478">
        <f t="shared" si="208"/>
        <v>12.502800000000001</v>
      </c>
      <c r="H229" s="449">
        <f t="shared" si="209"/>
        <v>193.7028</v>
      </c>
      <c r="I229" s="338">
        <v>6.9000000000000006E-2</v>
      </c>
      <c r="J229" s="443">
        <f t="shared" si="210"/>
        <v>13.365493200000001</v>
      </c>
      <c r="K229" s="449">
        <f t="shared" si="211"/>
        <v>207.0682932</v>
      </c>
      <c r="L229" s="449">
        <f t="shared" ref="L229" si="226">K229*5.3%+K229</f>
        <v>218.04291273960001</v>
      </c>
      <c r="M229" s="449">
        <f t="shared" si="213"/>
        <v>229.81723002753841</v>
      </c>
      <c r="N229" s="449">
        <f t="shared" si="214"/>
        <v>252.79895303029227</v>
      </c>
      <c r="O229" s="764">
        <f t="shared" si="215"/>
        <v>265.4389006818069</v>
      </c>
      <c r="P229" s="764">
        <f t="shared" si="216"/>
        <v>279.50716241794265</v>
      </c>
      <c r="Q229" s="764">
        <f t="shared" si="217"/>
        <v>293.48252053883976</v>
      </c>
      <c r="R229" s="847">
        <f t="shared" si="218"/>
        <v>304.34137379877683</v>
      </c>
      <c r="S229" s="345">
        <f t="shared" si="219"/>
        <v>314.38463913413648</v>
      </c>
      <c r="T229" s="345">
        <f t="shared" si="220"/>
        <v>324.44494758642884</v>
      </c>
    </row>
    <row r="230" spans="1:20" ht="16" thickBot="1">
      <c r="A230" s="560" t="s">
        <v>1154</v>
      </c>
      <c r="B230" s="561" t="s">
        <v>1152</v>
      </c>
      <c r="C230" s="566">
        <v>2500</v>
      </c>
      <c r="D230" s="567">
        <v>6.25E-2</v>
      </c>
      <c r="E230" s="801">
        <v>3017.01</v>
      </c>
      <c r="F230" s="338">
        <v>6.9000000000000006E-2</v>
      </c>
      <c r="G230" s="478">
        <f t="shared" si="208"/>
        <v>208.17369000000002</v>
      </c>
      <c r="H230" s="487">
        <f t="shared" si="209"/>
        <v>3225.1836900000003</v>
      </c>
      <c r="I230" s="338">
        <v>6.9000000000000006E-2</v>
      </c>
      <c r="J230" s="452">
        <f t="shared" si="210"/>
        <v>222.53767461000004</v>
      </c>
      <c r="K230" s="487">
        <f t="shared" si="211"/>
        <v>3447.7213646100004</v>
      </c>
      <c r="L230" s="487">
        <f t="shared" ref="L230" si="227">K230*5.3%+K230</f>
        <v>3630.4505969343304</v>
      </c>
      <c r="M230" s="487">
        <f t="shared" si="213"/>
        <v>3826.4949291687844</v>
      </c>
      <c r="N230" s="487">
        <f t="shared" si="214"/>
        <v>4209.1444220856629</v>
      </c>
      <c r="O230" s="638">
        <f t="shared" si="215"/>
        <v>4419.6016431899461</v>
      </c>
      <c r="P230" s="638">
        <f t="shared" si="216"/>
        <v>4653.8405302790134</v>
      </c>
      <c r="Q230" s="638">
        <f t="shared" si="217"/>
        <v>4886.532556792964</v>
      </c>
      <c r="R230" s="847">
        <f t="shared" si="218"/>
        <v>5067.3342613943041</v>
      </c>
      <c r="S230" s="345">
        <f t="shared" si="219"/>
        <v>5234.5562920203165</v>
      </c>
      <c r="T230" s="345">
        <f t="shared" si="220"/>
        <v>5402.062093364967</v>
      </c>
    </row>
    <row r="231" spans="1:20" ht="16" thickBot="1">
      <c r="A231" s="1166"/>
      <c r="B231" s="1167"/>
      <c r="C231" s="1168"/>
      <c r="D231" s="355"/>
      <c r="E231" s="789"/>
      <c r="F231" s="460"/>
      <c r="G231" s="461"/>
      <c r="H231" s="462"/>
      <c r="I231" s="460"/>
      <c r="J231" s="355"/>
      <c r="K231" s="463"/>
      <c r="L231" s="463"/>
      <c r="M231" s="463"/>
      <c r="N231" s="463"/>
      <c r="O231" s="462"/>
      <c r="P231" s="462"/>
      <c r="Q231" s="462"/>
      <c r="R231" s="849"/>
    </row>
    <row r="232" spans="1:20" ht="16" thickBot="1">
      <c r="A232" s="1131" t="s">
        <v>1155</v>
      </c>
      <c r="B232" s="1132"/>
      <c r="C232" s="1132"/>
      <c r="D232" s="1132"/>
      <c r="E232" s="1132"/>
      <c r="F232" s="1132"/>
      <c r="G232" s="1132"/>
      <c r="H232" s="1132"/>
      <c r="I232" s="1132"/>
      <c r="J232" s="1132"/>
      <c r="K232" s="1133"/>
      <c r="L232" s="1131"/>
      <c r="M232" s="1132"/>
      <c r="N232" s="1132"/>
      <c r="O232" s="1148"/>
      <c r="P232" s="1148"/>
      <c r="Q232" s="1148"/>
      <c r="R232" s="351"/>
    </row>
    <row r="233" spans="1:20" ht="16" thickBot="1">
      <c r="A233" s="545"/>
      <c r="B233" s="551" t="s">
        <v>1156</v>
      </c>
      <c r="C233" s="568" t="s">
        <v>1129</v>
      </c>
      <c r="D233" s="569" t="s">
        <v>1157</v>
      </c>
      <c r="E233" s="811" t="s">
        <v>436</v>
      </c>
      <c r="F233" s="570" t="s">
        <v>1156</v>
      </c>
      <c r="G233" s="332"/>
      <c r="H233" s="531" t="s">
        <v>437</v>
      </c>
      <c r="I233" s="549"/>
      <c r="J233" s="550"/>
      <c r="K233" s="531" t="s">
        <v>438</v>
      </c>
      <c r="L233" s="529" t="s">
        <v>439</v>
      </c>
      <c r="M233" s="529" t="s">
        <v>304</v>
      </c>
      <c r="N233" s="529" t="s">
        <v>305</v>
      </c>
      <c r="O233" s="771" t="s">
        <v>306</v>
      </c>
      <c r="P233" s="771" t="s">
        <v>308</v>
      </c>
      <c r="Q233" s="771" t="s">
        <v>308</v>
      </c>
      <c r="R233" s="853" t="s">
        <v>309</v>
      </c>
      <c r="S233" s="345" t="s">
        <v>309</v>
      </c>
      <c r="T233" s="345" t="s">
        <v>309</v>
      </c>
    </row>
    <row r="234" spans="1:20" ht="17" thickBot="1">
      <c r="A234" s="545" t="s">
        <v>1158</v>
      </c>
      <c r="B234" s="557"/>
      <c r="C234" s="558">
        <v>4600</v>
      </c>
      <c r="D234" s="450">
        <v>6.25E-2</v>
      </c>
      <c r="E234" s="800">
        <v>5551.28</v>
      </c>
      <c r="F234" s="338">
        <v>6.9000000000000006E-2</v>
      </c>
      <c r="G234" s="478">
        <f>E234*F234</f>
        <v>383.03832</v>
      </c>
      <c r="H234" s="449">
        <f>E234+G234</f>
        <v>5934.3183199999994</v>
      </c>
      <c r="I234" s="338">
        <v>6.9000000000000006E-2</v>
      </c>
      <c r="J234" s="443">
        <f>H234*I234</f>
        <v>409.46796408</v>
      </c>
      <c r="K234" s="449">
        <f>H234+J234</f>
        <v>6343.7862840799989</v>
      </c>
      <c r="L234" s="449">
        <f t="shared" ref="L234" si="228">K234*5.3%+K234</f>
        <v>6680.0069571362392</v>
      </c>
      <c r="M234" s="449">
        <f>L234*5.4%+L234</f>
        <v>7040.7273328215961</v>
      </c>
      <c r="N234" s="449">
        <f>M234*10%+M234</f>
        <v>7744.8000661037559</v>
      </c>
      <c r="O234" s="764">
        <f>N234*5%+N234</f>
        <v>8132.040069408944</v>
      </c>
      <c r="P234" s="764">
        <f>O234+O234*5.3%</f>
        <v>8563.0381930876174</v>
      </c>
      <c r="Q234" s="764">
        <f>P234+P234*5%</f>
        <v>8991.190102741999</v>
      </c>
      <c r="R234" s="847">
        <f>Q234+Q234*3.7%</f>
        <v>9323.8641365434523</v>
      </c>
      <c r="S234" s="345">
        <f>R234+R234*3.3%</f>
        <v>9631.551653049386</v>
      </c>
      <c r="T234" s="345">
        <f>S234+S234*3.2%</f>
        <v>9939.7613059469659</v>
      </c>
    </row>
    <row r="235" spans="1:20" ht="16" thickBot="1">
      <c r="A235" s="560" t="s">
        <v>1159</v>
      </c>
      <c r="B235" s="561"/>
      <c r="C235" s="566">
        <v>4000</v>
      </c>
      <c r="D235" s="567">
        <v>6.25E-2</v>
      </c>
      <c r="E235" s="801">
        <v>4827.21</v>
      </c>
      <c r="F235" s="338">
        <v>6.9000000000000006E-2</v>
      </c>
      <c r="G235" s="478">
        <f>E235*F235</f>
        <v>333.07749000000001</v>
      </c>
      <c r="H235" s="487">
        <f>E235+G235</f>
        <v>5160.2874899999997</v>
      </c>
      <c r="I235" s="338">
        <v>6.9000000000000006E-2</v>
      </c>
      <c r="J235" s="452">
        <f>H235*I235</f>
        <v>356.05983681000004</v>
      </c>
      <c r="K235" s="487">
        <f>H235+J235</f>
        <v>5516.3473268099997</v>
      </c>
      <c r="L235" s="487">
        <f t="shared" ref="L235" si="229">K235*5.3%+K235</f>
        <v>5808.7137351309293</v>
      </c>
      <c r="M235" s="487">
        <f>L235*5.4%+L235</f>
        <v>6122.3842768279992</v>
      </c>
      <c r="N235" s="487">
        <f>M235*10%+M235</f>
        <v>6734.6227045107989</v>
      </c>
      <c r="O235" s="638">
        <f>N235*5%+N235</f>
        <v>7071.3538397363391</v>
      </c>
      <c r="P235" s="638">
        <f>O235+O235*5.3%</f>
        <v>7446.1355932423648</v>
      </c>
      <c r="Q235" s="638">
        <f>P235+P235*5%</f>
        <v>7818.4423729044829</v>
      </c>
      <c r="R235" s="847">
        <f>Q235+Q235*3.7%</f>
        <v>8107.7247407019486</v>
      </c>
      <c r="S235" s="345">
        <f>R235+R235*3.3%</f>
        <v>8375.2796571451127</v>
      </c>
      <c r="T235" s="345">
        <f>S235+S235*3.2%</f>
        <v>8643.2886061737554</v>
      </c>
    </row>
    <row r="236" spans="1:20" ht="16" thickBot="1">
      <c r="A236" s="1131" t="s">
        <v>1160</v>
      </c>
      <c r="B236" s="1132"/>
      <c r="C236" s="1132"/>
      <c r="D236" s="1132"/>
      <c r="E236" s="1132"/>
      <c r="F236" s="1132"/>
      <c r="G236" s="1132"/>
      <c r="H236" s="1132"/>
      <c r="I236" s="1132"/>
      <c r="J236" s="1132"/>
      <c r="K236" s="1133"/>
      <c r="L236" s="1131"/>
      <c r="M236" s="1132"/>
      <c r="N236" s="1132"/>
      <c r="O236" s="1147"/>
      <c r="P236" s="1147"/>
      <c r="Q236" s="1147"/>
      <c r="R236" s="855"/>
    </row>
    <row r="237" spans="1:20" ht="16" thickBot="1">
      <c r="A237" s="571"/>
      <c r="B237" s="551" t="s">
        <v>1156</v>
      </c>
      <c r="C237" s="572" t="s">
        <v>1129</v>
      </c>
      <c r="D237" s="569" t="s">
        <v>1157</v>
      </c>
      <c r="E237" s="811" t="s">
        <v>436</v>
      </c>
      <c r="F237" s="573" t="s">
        <v>1156</v>
      </c>
      <c r="G237" s="332"/>
      <c r="H237" s="531" t="s">
        <v>437</v>
      </c>
      <c r="I237" s="549"/>
      <c r="J237" s="550"/>
      <c r="K237" s="531" t="s">
        <v>438</v>
      </c>
      <c r="L237" s="529" t="s">
        <v>439</v>
      </c>
      <c r="M237" s="529" t="s">
        <v>304</v>
      </c>
      <c r="N237" s="529" t="s">
        <v>305</v>
      </c>
      <c r="O237" s="771" t="s">
        <v>306</v>
      </c>
      <c r="P237" s="771" t="s">
        <v>308</v>
      </c>
      <c r="Q237" s="771" t="s">
        <v>308</v>
      </c>
      <c r="R237" s="853" t="s">
        <v>309</v>
      </c>
      <c r="S237" s="345" t="s">
        <v>309</v>
      </c>
      <c r="T237" s="345" t="s">
        <v>309</v>
      </c>
    </row>
    <row r="238" spans="1:20">
      <c r="A238" s="574" t="s">
        <v>1161</v>
      </c>
      <c r="B238" s="1136"/>
      <c r="C238" s="1138">
        <v>15800</v>
      </c>
      <c r="D238" s="1140">
        <v>6.25E-2</v>
      </c>
      <c r="E238" s="1119">
        <v>19067.45</v>
      </c>
      <c r="F238" s="1140">
        <v>6.9000000000000006E-2</v>
      </c>
      <c r="H238" s="1083">
        <f>E238+G239</f>
        <v>20383.104050000002</v>
      </c>
      <c r="I238" s="517"/>
      <c r="J238" s="360"/>
      <c r="K238" s="1143">
        <f>H238+J239</f>
        <v>21789.538229450001</v>
      </c>
      <c r="L238" s="1143">
        <f t="shared" ref="L238" si="230">K238*5.3%+K238</f>
        <v>22944.383755610852</v>
      </c>
      <c r="M238" s="1143">
        <f>L238*5.4%+L238</f>
        <v>24183.380478413837</v>
      </c>
      <c r="N238" s="1143">
        <f>M238*10%+M238</f>
        <v>26601.718526255223</v>
      </c>
      <c r="O238" s="1151">
        <f>N238*5%+N238</f>
        <v>27931.804452567983</v>
      </c>
      <c r="P238" s="1151">
        <f>O238+O238*5.3%</f>
        <v>29412.190088554085</v>
      </c>
      <c r="Q238" s="1151">
        <f>P238+P238*5%</f>
        <v>30882.799592981792</v>
      </c>
      <c r="R238" s="1154">
        <f>Q238+Q238*3.7%</f>
        <v>32025.463177922116</v>
      </c>
      <c r="S238" s="345">
        <f>R238+R238*3.3%</f>
        <v>33082.303462793549</v>
      </c>
      <c r="T238" s="345">
        <f>S238+S238*3.2%</f>
        <v>34140.937173602942</v>
      </c>
    </row>
    <row r="239" spans="1:20" ht="16" thickBot="1">
      <c r="A239" s="560" t="s">
        <v>1162</v>
      </c>
      <c r="B239" s="1137"/>
      <c r="C239" s="1139"/>
      <c r="D239" s="1141"/>
      <c r="E239" s="1142"/>
      <c r="F239" s="1141"/>
      <c r="G239" s="478">
        <f>E238*F238</f>
        <v>1315.6540500000001</v>
      </c>
      <c r="H239" s="1067"/>
      <c r="I239" s="338">
        <v>6.9000000000000006E-2</v>
      </c>
      <c r="J239" s="349">
        <f>H238*I239</f>
        <v>1406.4341794500003</v>
      </c>
      <c r="K239" s="1144"/>
      <c r="L239" s="1144">
        <f t="shared" ref="L239:O239" si="231">K239*5.3%+K239</f>
        <v>0</v>
      </c>
      <c r="M239" s="1144">
        <f t="shared" si="231"/>
        <v>0</v>
      </c>
      <c r="N239" s="1144">
        <f t="shared" si="231"/>
        <v>0</v>
      </c>
      <c r="O239" s="1152">
        <f t="shared" si="231"/>
        <v>0</v>
      </c>
      <c r="P239" s="1152">
        <f t="shared" ref="P239:T239" si="232">O239+O239*0.1</f>
        <v>0</v>
      </c>
      <c r="Q239" s="1152">
        <f t="shared" si="232"/>
        <v>0</v>
      </c>
      <c r="R239" s="1155">
        <f t="shared" si="232"/>
        <v>0</v>
      </c>
      <c r="S239" s="345">
        <f t="shared" si="232"/>
        <v>0</v>
      </c>
      <c r="T239" s="345">
        <f t="shared" si="232"/>
        <v>0</v>
      </c>
    </row>
    <row r="240" spans="1:20" ht="16" thickBot="1">
      <c r="A240" s="1131" t="s">
        <v>1163</v>
      </c>
      <c r="B240" s="1132"/>
      <c r="C240" s="1132"/>
      <c r="D240" s="1132"/>
      <c r="E240" s="1132"/>
      <c r="F240" s="1132"/>
      <c r="G240" s="1132"/>
      <c r="H240" s="1132"/>
      <c r="I240" s="1132"/>
      <c r="J240" s="1132"/>
      <c r="K240" s="1133"/>
      <c r="L240" s="1131"/>
      <c r="M240" s="1132"/>
      <c r="N240" s="1132"/>
      <c r="O240" s="1147"/>
      <c r="P240" s="1147"/>
      <c r="Q240" s="1147"/>
      <c r="R240" s="351"/>
    </row>
    <row r="241" spans="1:20" ht="16" thickBot="1">
      <c r="A241" s="545"/>
      <c r="B241" s="1134" t="s">
        <v>1156</v>
      </c>
      <c r="C241" s="1135"/>
      <c r="D241" s="575"/>
      <c r="E241" s="812" t="s">
        <v>436</v>
      </c>
      <c r="F241" s="576"/>
      <c r="G241" s="577"/>
      <c r="H241" s="531" t="s">
        <v>437</v>
      </c>
      <c r="I241" s="549"/>
      <c r="J241" s="550"/>
      <c r="K241" s="531" t="s">
        <v>438</v>
      </c>
      <c r="L241" s="529" t="s">
        <v>439</v>
      </c>
      <c r="M241" s="529" t="s">
        <v>304</v>
      </c>
      <c r="N241" s="529" t="s">
        <v>305</v>
      </c>
      <c r="O241" s="771" t="s">
        <v>306</v>
      </c>
      <c r="P241" s="771" t="s">
        <v>308</v>
      </c>
      <c r="Q241" s="771" t="s">
        <v>308</v>
      </c>
      <c r="R241" s="853" t="s">
        <v>309</v>
      </c>
      <c r="S241" s="345" t="s">
        <v>309</v>
      </c>
      <c r="T241" s="345" t="s">
        <v>309</v>
      </c>
    </row>
    <row r="242" spans="1:20" ht="16" thickBot="1">
      <c r="A242" s="545" t="s">
        <v>1164</v>
      </c>
      <c r="B242" s="557"/>
      <c r="C242" s="559">
        <v>75</v>
      </c>
      <c r="D242" s="578">
        <v>6.25E-2</v>
      </c>
      <c r="E242" s="496">
        <v>90.51</v>
      </c>
      <c r="F242" s="338">
        <v>6.9000000000000006E-2</v>
      </c>
      <c r="G242" s="478">
        <f>E242*F242</f>
        <v>6.2451900000000009</v>
      </c>
      <c r="H242" s="449">
        <f>E242+G242</f>
        <v>96.755189999999999</v>
      </c>
      <c r="I242" s="338">
        <v>6.9000000000000006E-2</v>
      </c>
      <c r="J242" s="443">
        <f>H242*I242</f>
        <v>6.6761081100000004</v>
      </c>
      <c r="K242" s="449">
        <f>H242+J242</f>
        <v>103.43129811</v>
      </c>
      <c r="L242" s="449">
        <f t="shared" ref="L242" si="233">K242*5.3%+K242</f>
        <v>108.91315690982999</v>
      </c>
      <c r="M242" s="449">
        <f t="shared" ref="M242:M244" si="234">L242*5.4%+L242</f>
        <v>114.79446738296082</v>
      </c>
      <c r="N242" s="449">
        <f t="shared" ref="N242:N244" si="235">M242*10%+M242</f>
        <v>126.27391412125689</v>
      </c>
      <c r="O242" s="764">
        <f>N242*5%+N242</f>
        <v>132.58760982731974</v>
      </c>
      <c r="P242" s="764">
        <f>O242+O242*5.3%</f>
        <v>139.61475314816769</v>
      </c>
      <c r="Q242" s="764">
        <f t="shared" ref="Q242:Q244" si="236">P242+P242*5%</f>
        <v>146.59549080557608</v>
      </c>
      <c r="R242" s="847">
        <f>Q242+Q242*3.7%</f>
        <v>152.0195239653824</v>
      </c>
      <c r="S242" s="345">
        <f>R242+R242*3.3%</f>
        <v>157.03616825624002</v>
      </c>
      <c r="T242" s="345">
        <f>S242+S242*3.2%</f>
        <v>162.06132564043969</v>
      </c>
    </row>
    <row r="243" spans="1:20" ht="16" thickBot="1">
      <c r="A243" s="545" t="s">
        <v>1165</v>
      </c>
      <c r="B243" s="557"/>
      <c r="C243" s="559">
        <v>75</v>
      </c>
      <c r="D243" s="579">
        <v>6.25E-2</v>
      </c>
      <c r="E243" s="496">
        <v>90.51</v>
      </c>
      <c r="F243" s="338">
        <v>6.9000000000000006E-2</v>
      </c>
      <c r="G243" s="478">
        <f>E243*F243</f>
        <v>6.2451900000000009</v>
      </c>
      <c r="H243" s="449">
        <f>E243+G243</f>
        <v>96.755189999999999</v>
      </c>
      <c r="I243" s="338">
        <v>6.9000000000000006E-2</v>
      </c>
      <c r="J243" s="443">
        <f>H243*I243</f>
        <v>6.6761081100000004</v>
      </c>
      <c r="K243" s="449">
        <f>H243+J243</f>
        <v>103.43129811</v>
      </c>
      <c r="L243" s="449">
        <f t="shared" ref="L243" si="237">K243*5.3%+K243</f>
        <v>108.91315690982999</v>
      </c>
      <c r="M243" s="449">
        <f t="shared" si="234"/>
        <v>114.79446738296082</v>
      </c>
      <c r="N243" s="449">
        <f t="shared" si="235"/>
        <v>126.27391412125689</v>
      </c>
      <c r="O243" s="764">
        <f>N243*5%+N243</f>
        <v>132.58760982731974</v>
      </c>
      <c r="P243" s="764">
        <f>O243+O243*5.3%</f>
        <v>139.61475314816769</v>
      </c>
      <c r="Q243" s="764">
        <f t="shared" si="236"/>
        <v>146.59549080557608</v>
      </c>
      <c r="R243" s="847">
        <f>Q243+Q243*3.7%</f>
        <v>152.0195239653824</v>
      </c>
      <c r="S243" s="345">
        <f>R243+R243*3.3%</f>
        <v>157.03616825624002</v>
      </c>
      <c r="T243" s="345">
        <f>S243+S243*3.2%</f>
        <v>162.06132564043969</v>
      </c>
    </row>
    <row r="244" spans="1:20" ht="16" thickBot="1">
      <c r="A244" s="545" t="s">
        <v>1166</v>
      </c>
      <c r="B244" s="557"/>
      <c r="C244" s="559">
        <v>50</v>
      </c>
      <c r="D244" s="579">
        <v>6.25E-2</v>
      </c>
      <c r="E244" s="496">
        <v>60.35</v>
      </c>
      <c r="F244" s="338">
        <v>6.9000000000000006E-2</v>
      </c>
      <c r="G244" s="478">
        <f>E244*F244</f>
        <v>4.1641500000000002</v>
      </c>
      <c r="H244" s="449">
        <f>E244+G244</f>
        <v>64.514150000000001</v>
      </c>
      <c r="I244" s="338">
        <v>6.9000000000000006E-2</v>
      </c>
      <c r="J244" s="443">
        <f>H244*I244</f>
        <v>4.4514763500000001</v>
      </c>
      <c r="K244" s="449">
        <f>H244+J244</f>
        <v>68.965626350000008</v>
      </c>
      <c r="L244" s="449">
        <f t="shared" ref="L244" si="238">K244*5.3%+K244</f>
        <v>72.620804546550005</v>
      </c>
      <c r="M244" s="449">
        <f t="shared" si="234"/>
        <v>76.542327992063704</v>
      </c>
      <c r="N244" s="449">
        <f t="shared" si="235"/>
        <v>84.196560791270073</v>
      </c>
      <c r="O244" s="764">
        <f>N244*5%+N244</f>
        <v>88.406388830833578</v>
      </c>
      <c r="P244" s="764">
        <f>O244+O244*5.3%</f>
        <v>93.091927438867756</v>
      </c>
      <c r="Q244" s="764">
        <f t="shared" si="236"/>
        <v>97.746523810811141</v>
      </c>
      <c r="R244" s="847">
        <f>Q244+Q244*3.7%</f>
        <v>101.36314519181116</v>
      </c>
      <c r="S244" s="345">
        <f>R244+R244*3.3%</f>
        <v>104.70812898314092</v>
      </c>
      <c r="T244" s="345">
        <f>S244+S244*3.2%</f>
        <v>108.05878911060144</v>
      </c>
    </row>
    <row r="245" spans="1:20" ht="16" thickBot="1">
      <c r="A245" s="560" t="s">
        <v>1167</v>
      </c>
      <c r="B245" s="561"/>
      <c r="C245" s="580" t="s">
        <v>1168</v>
      </c>
      <c r="D245" s="480"/>
      <c r="E245" s="795" t="s">
        <v>1168</v>
      </c>
      <c r="F245" s="480"/>
      <c r="H245" s="427" t="s">
        <v>1168</v>
      </c>
      <c r="K245" s="475" t="s">
        <v>1168</v>
      </c>
      <c r="L245" s="475" t="s">
        <v>1168</v>
      </c>
      <c r="M245" s="475" t="s">
        <v>1168</v>
      </c>
      <c r="N245" s="475" t="s">
        <v>1168</v>
      </c>
      <c r="O245" s="770" t="s">
        <v>1168</v>
      </c>
      <c r="P245" s="770" t="s">
        <v>1168</v>
      </c>
      <c r="Q245" s="770" t="s">
        <v>1168</v>
      </c>
      <c r="R245" s="847" t="s">
        <v>1168</v>
      </c>
      <c r="S245" s="345" t="s">
        <v>1168</v>
      </c>
      <c r="T245" s="345" t="s">
        <v>1168</v>
      </c>
    </row>
    <row r="246" spans="1:20" ht="16" thickBot="1">
      <c r="A246" s="581" t="s">
        <v>1169</v>
      </c>
      <c r="B246" s="582"/>
      <c r="C246" s="583"/>
      <c r="D246" s="583"/>
      <c r="E246" s="813" t="s">
        <v>436</v>
      </c>
      <c r="F246" s="584"/>
      <c r="G246" s="332"/>
      <c r="H246" s="529" t="s">
        <v>437</v>
      </c>
      <c r="I246" s="549"/>
      <c r="J246" s="550"/>
      <c r="K246" s="529" t="s">
        <v>438</v>
      </c>
      <c r="L246" s="529" t="s">
        <v>439</v>
      </c>
      <c r="M246" s="529" t="s">
        <v>304</v>
      </c>
      <c r="N246" s="529" t="s">
        <v>305</v>
      </c>
      <c r="O246" s="771" t="s">
        <v>306</v>
      </c>
      <c r="P246" s="771" t="s">
        <v>308</v>
      </c>
      <c r="Q246" s="771" t="s">
        <v>308</v>
      </c>
      <c r="R246" s="853" t="s">
        <v>309</v>
      </c>
      <c r="S246" s="345" t="s">
        <v>309</v>
      </c>
      <c r="T246" s="345" t="s">
        <v>309</v>
      </c>
    </row>
    <row r="247" spans="1:20" ht="16" thickBot="1">
      <c r="A247" s="545" t="s">
        <v>1170</v>
      </c>
      <c r="B247" s="557"/>
      <c r="C247" s="558">
        <v>943.8</v>
      </c>
      <c r="D247" s="450">
        <v>6.25E-2</v>
      </c>
      <c r="E247" s="800">
        <v>1138.98</v>
      </c>
      <c r="F247" s="338">
        <v>6.9000000000000006E-2</v>
      </c>
      <c r="G247" s="478">
        <f>E247*F247</f>
        <v>78.589620000000011</v>
      </c>
      <c r="H247" s="449">
        <f>E247+G247</f>
        <v>1217.56962</v>
      </c>
      <c r="I247" s="338">
        <v>6.9000000000000006E-2</v>
      </c>
      <c r="J247" s="443">
        <f>H247*I247</f>
        <v>84.012303780000011</v>
      </c>
      <c r="K247" s="449">
        <f>H247+J247</f>
        <v>1301.5819237799999</v>
      </c>
      <c r="L247" s="449">
        <f t="shared" ref="L247" si="239">K247*5.3%+K247</f>
        <v>1370.5657657403399</v>
      </c>
      <c r="M247" s="449">
        <f t="shared" ref="M247:M250" si="240">L247*5.4%+L247</f>
        <v>1444.5763170903183</v>
      </c>
      <c r="N247" s="449">
        <f t="shared" ref="N247:N250" si="241">M247*10%+M247</f>
        <v>1589.0339487993501</v>
      </c>
      <c r="O247" s="764">
        <f>N247*5%+N247</f>
        <v>1668.4856462393177</v>
      </c>
      <c r="P247" s="764">
        <f>O247+O247*5.3%</f>
        <v>1756.9153854900014</v>
      </c>
      <c r="Q247" s="764">
        <f t="shared" ref="Q247:Q250" si="242">P247+P247*5%</f>
        <v>1844.7611547645015</v>
      </c>
      <c r="R247" s="847">
        <f>Q247+Q247*3.7%</f>
        <v>1913.0173174907882</v>
      </c>
      <c r="S247" s="345">
        <f>R247+R247*3.3%</f>
        <v>1976.1468889679841</v>
      </c>
      <c r="T247" s="345">
        <f>S247+S247*3.2%</f>
        <v>2039.3835894149595</v>
      </c>
    </row>
    <row r="248" spans="1:20" ht="16" thickBot="1">
      <c r="A248" s="545" t="s">
        <v>1171</v>
      </c>
      <c r="B248" s="557"/>
      <c r="C248" s="558">
        <v>3750</v>
      </c>
      <c r="D248" s="450">
        <v>6.25E-2</v>
      </c>
      <c r="E248" s="800">
        <v>4525.5</v>
      </c>
      <c r="F248" s="338">
        <v>6.9000000000000006E-2</v>
      </c>
      <c r="G248" s="478">
        <f>E248*F248</f>
        <v>312.2595</v>
      </c>
      <c r="H248" s="449">
        <f>E248+G248</f>
        <v>4837.7595000000001</v>
      </c>
      <c r="I248" s="338">
        <v>6.9000000000000006E-2</v>
      </c>
      <c r="J248" s="443">
        <f>H248*I248</f>
        <v>333.80540550000006</v>
      </c>
      <c r="K248" s="449">
        <f>H248+J248</f>
        <v>5171.5649055000004</v>
      </c>
      <c r="L248" s="449">
        <f t="shared" ref="L248" si="243">K248*5.3%+K248</f>
        <v>5445.6578454915007</v>
      </c>
      <c r="M248" s="449">
        <f t="shared" si="240"/>
        <v>5739.7233691480415</v>
      </c>
      <c r="N248" s="449">
        <f t="shared" si="241"/>
        <v>6313.6957060628456</v>
      </c>
      <c r="O248" s="764">
        <f>N248*5%+N248</f>
        <v>6629.3804913659878</v>
      </c>
      <c r="P248" s="764">
        <f>O248+O248*5.3%</f>
        <v>6980.7376574083855</v>
      </c>
      <c r="Q248" s="764">
        <f t="shared" si="242"/>
        <v>7329.774540278805</v>
      </c>
      <c r="R248" s="847">
        <f>Q248+Q248*3.7%</f>
        <v>7600.9761982691207</v>
      </c>
      <c r="S248" s="345">
        <f>R248+R248*3.3%</f>
        <v>7851.8084128120017</v>
      </c>
      <c r="T248" s="345">
        <f>S248+S248*3.2%</f>
        <v>8103.0662820219859</v>
      </c>
    </row>
    <row r="249" spans="1:20" ht="16" thickBot="1">
      <c r="A249" s="545" t="s">
        <v>1172</v>
      </c>
      <c r="B249" s="557"/>
      <c r="C249" s="558">
        <v>2700</v>
      </c>
      <c r="D249" s="450">
        <v>6.25E-2</v>
      </c>
      <c r="E249" s="800">
        <v>2975</v>
      </c>
      <c r="F249" s="338">
        <v>6.9000000000000006E-2</v>
      </c>
      <c r="G249" s="478"/>
      <c r="H249" s="585">
        <v>2975</v>
      </c>
      <c r="I249" s="338">
        <v>6.9000000000000006E-2</v>
      </c>
      <c r="J249" s="537">
        <f>H249*I249</f>
        <v>205.27500000000001</v>
      </c>
      <c r="K249" s="585">
        <f>H249+J249</f>
        <v>3180.2750000000001</v>
      </c>
      <c r="L249" s="585">
        <f t="shared" ref="L249" si="244">K249*5.3%+K249</f>
        <v>3348.8295750000002</v>
      </c>
      <c r="M249" s="585">
        <f t="shared" si="240"/>
        <v>3529.6663720500001</v>
      </c>
      <c r="N249" s="585">
        <f t="shared" si="241"/>
        <v>3882.6330092550002</v>
      </c>
      <c r="O249" s="772">
        <f>N249*5%+N249</f>
        <v>4076.76465971775</v>
      </c>
      <c r="P249" s="772">
        <f>O249+O249*5.3%</f>
        <v>4292.8331866827903</v>
      </c>
      <c r="Q249" s="772">
        <f t="shared" si="242"/>
        <v>4507.4748460169294</v>
      </c>
      <c r="R249" s="847">
        <f>Q249+Q249*3.7%</f>
        <v>4674.2514153195561</v>
      </c>
      <c r="S249" s="345">
        <f>R249+R249*3.3%</f>
        <v>4828.5017120251014</v>
      </c>
      <c r="T249" s="345">
        <f>S249+S249*3.2%</f>
        <v>4983.0137668099051</v>
      </c>
    </row>
    <row r="250" spans="1:20" ht="16" thickBot="1">
      <c r="A250" s="545" t="s">
        <v>1173</v>
      </c>
      <c r="B250" s="557"/>
      <c r="C250" s="558">
        <v>1000</v>
      </c>
      <c r="D250" s="450">
        <v>6.25E-2</v>
      </c>
      <c r="E250" s="801">
        <v>1206.8</v>
      </c>
      <c r="F250" s="338">
        <v>6.9000000000000006E-2</v>
      </c>
      <c r="G250" s="478">
        <f>E250*F250</f>
        <v>83.269199999999998</v>
      </c>
      <c r="H250" s="487">
        <f>G250+E250</f>
        <v>1290.0691999999999</v>
      </c>
      <c r="I250" s="338">
        <v>6.9000000000000006E-2</v>
      </c>
      <c r="J250" s="443">
        <f>H250*I250</f>
        <v>89.014774799999998</v>
      </c>
      <c r="K250" s="449">
        <f>H250+J250</f>
        <v>1379.0839747999999</v>
      </c>
      <c r="L250" s="449">
        <f t="shared" ref="L250" si="245">K250*5.3%+K250</f>
        <v>1452.1754254643997</v>
      </c>
      <c r="M250" s="449">
        <f t="shared" si="240"/>
        <v>1530.5928984394773</v>
      </c>
      <c r="N250" s="449">
        <f t="shared" si="241"/>
        <v>1683.6521882834249</v>
      </c>
      <c r="O250" s="764">
        <f>N250*5%+N250</f>
        <v>1767.8347976975963</v>
      </c>
      <c r="P250" s="764">
        <f>O250+O250*5.3%</f>
        <v>1861.5300419755688</v>
      </c>
      <c r="Q250" s="764">
        <f t="shared" si="242"/>
        <v>1954.6065440743473</v>
      </c>
      <c r="R250" s="847">
        <f>Q250+Q250*3.7%</f>
        <v>2026.9269862050983</v>
      </c>
      <c r="S250" s="345">
        <f>R250+R250*3.3%</f>
        <v>2093.8155767498665</v>
      </c>
      <c r="T250" s="345">
        <f>S250+S250*3.2%</f>
        <v>2160.8176752058621</v>
      </c>
    </row>
    <row r="251" spans="1:20" ht="16" thickBot="1">
      <c r="A251" s="545"/>
      <c r="B251" s="557"/>
      <c r="C251" s="586"/>
      <c r="D251" s="587"/>
      <c r="E251" s="496"/>
      <c r="F251" s="439"/>
      <c r="G251" s="446"/>
      <c r="H251" s="475"/>
      <c r="I251" s="439"/>
      <c r="J251" s="440"/>
      <c r="K251" s="475"/>
      <c r="L251" s="475"/>
      <c r="M251" s="475"/>
      <c r="N251" s="475"/>
      <c r="O251" s="770"/>
      <c r="P251" s="770"/>
      <c r="Q251" s="770"/>
      <c r="R251" s="847"/>
    </row>
    <row r="253" spans="1:20" ht="51.75" customHeight="1">
      <c r="A253" s="1009" t="s">
        <v>878</v>
      </c>
      <c r="B253" s="1009"/>
      <c r="C253" s="1009"/>
      <c r="D253" s="1009"/>
      <c r="E253" s="1009"/>
      <c r="F253" s="1009"/>
      <c r="G253" s="1009"/>
      <c r="H253" s="1009"/>
      <c r="I253" s="1009"/>
      <c r="J253" s="1009"/>
      <c r="K253" s="1009"/>
      <c r="L253" s="1009"/>
      <c r="M253" s="1009"/>
      <c r="N253" s="1009"/>
      <c r="O253" s="1009"/>
      <c r="P253" s="1009"/>
      <c r="Q253" s="1009"/>
      <c r="R253" s="1009"/>
      <c r="S253" s="1009"/>
      <c r="T253" s="1009"/>
    </row>
    <row r="255" spans="1:20" ht="68">
      <c r="A255" s="1010" t="s">
        <v>1174</v>
      </c>
      <c r="B255" s="1010"/>
      <c r="C255" s="875" t="s">
        <v>382</v>
      </c>
      <c r="E255"/>
      <c r="F255"/>
      <c r="G255"/>
      <c r="H255"/>
      <c r="I255" s="148"/>
      <c r="J255" s="148"/>
      <c r="K255" s="148"/>
      <c r="L255" s="1010" t="s">
        <v>881</v>
      </c>
      <c r="M255" s="1010"/>
      <c r="N255" s="1010"/>
      <c r="P255" s="1010" t="s">
        <v>1175</v>
      </c>
      <c r="Q255" s="1010"/>
      <c r="R255" s="1010"/>
      <c r="S255" s="1010"/>
      <c r="T255"/>
    </row>
    <row r="256" spans="1:20">
      <c r="B256"/>
      <c r="E256"/>
      <c r="F256"/>
      <c r="G256"/>
      <c r="H256"/>
      <c r="I256"/>
      <c r="K256"/>
      <c r="L256"/>
      <c r="M256"/>
      <c r="N256" s="345"/>
    </row>
    <row r="257" spans="1:16">
      <c r="A257" t="s">
        <v>882</v>
      </c>
      <c r="B257"/>
      <c r="E257"/>
      <c r="F257"/>
      <c r="G257"/>
      <c r="H257"/>
      <c r="I257"/>
      <c r="K257"/>
      <c r="L257" t="s">
        <v>883</v>
      </c>
      <c r="M257"/>
      <c r="N257" s="345"/>
      <c r="P257" s="427" t="s">
        <v>1176</v>
      </c>
    </row>
    <row r="260" spans="1:16">
      <c r="A260" t="s">
        <v>1177</v>
      </c>
      <c r="O260" s="427" t="s">
        <v>1178</v>
      </c>
    </row>
  </sheetData>
  <mergeCells count="323">
    <mergeCell ref="T43:T44"/>
    <mergeCell ref="T61:T62"/>
    <mergeCell ref="T12:T13"/>
    <mergeCell ref="T14:T15"/>
    <mergeCell ref="T18:T19"/>
    <mergeCell ref="T20:T21"/>
    <mergeCell ref="T29:T30"/>
    <mergeCell ref="T31:T32"/>
    <mergeCell ref="T33:T35"/>
    <mergeCell ref="T36:T37"/>
    <mergeCell ref="T38:T40"/>
    <mergeCell ref="A184:B184"/>
    <mergeCell ref="R20:R21"/>
    <mergeCell ref="A253:T253"/>
    <mergeCell ref="A255:B255"/>
    <mergeCell ref="L255:N255"/>
    <mergeCell ref="P255:S255"/>
    <mergeCell ref="R101:R103"/>
    <mergeCell ref="R119:R120"/>
    <mergeCell ref="R127:R128"/>
    <mergeCell ref="R144:R145"/>
    <mergeCell ref="R238:R239"/>
    <mergeCell ref="O240:Q240"/>
    <mergeCell ref="O101:O103"/>
    <mergeCell ref="O119:O120"/>
    <mergeCell ref="O127:O128"/>
    <mergeCell ref="O144:O145"/>
    <mergeCell ref="O238:O239"/>
    <mergeCell ref="B208:K210"/>
    <mergeCell ref="B211:C211"/>
    <mergeCell ref="A220:K220"/>
    <mergeCell ref="A221:C221"/>
    <mergeCell ref="A231:C231"/>
    <mergeCell ref="A232:K232"/>
    <mergeCell ref="E177:E178"/>
    <mergeCell ref="A183:B183"/>
    <mergeCell ref="P238:P239"/>
    <mergeCell ref="Q12:Q13"/>
    <mergeCell ref="Q14:Q15"/>
    <mergeCell ref="Q27:Q28"/>
    <mergeCell ref="Q29:Q30"/>
    <mergeCell ref="Q31:Q32"/>
    <mergeCell ref="Q33:Q35"/>
    <mergeCell ref="Q36:Q37"/>
    <mergeCell ref="Q43:Q44"/>
    <mergeCell ref="Q45:Q46"/>
    <mergeCell ref="Q47:Q48"/>
    <mergeCell ref="Q49:Q50"/>
    <mergeCell ref="Q101:Q103"/>
    <mergeCell ref="Q119:Q120"/>
    <mergeCell ref="Q127:Q128"/>
    <mergeCell ref="Q144:Q145"/>
    <mergeCell ref="Q238:Q239"/>
    <mergeCell ref="O61:Q62"/>
    <mergeCell ref="P12:P13"/>
    <mergeCell ref="P14:P15"/>
    <mergeCell ref="P27:P28"/>
    <mergeCell ref="P29:P30"/>
    <mergeCell ref="P31:P32"/>
    <mergeCell ref="P33:P35"/>
    <mergeCell ref="P36:P37"/>
    <mergeCell ref="P43:P44"/>
    <mergeCell ref="P45:P46"/>
    <mergeCell ref="O43:O44"/>
    <mergeCell ref="O29:O30"/>
    <mergeCell ref="O12:O13"/>
    <mergeCell ref="O14:O15"/>
    <mergeCell ref="O27:O28"/>
    <mergeCell ref="O31:O32"/>
    <mergeCell ref="O33:O35"/>
    <mergeCell ref="O36:O37"/>
    <mergeCell ref="O45:O46"/>
    <mergeCell ref="O47:O48"/>
    <mergeCell ref="O49:O50"/>
    <mergeCell ref="L208:Q210"/>
    <mergeCell ref="O220:Q220"/>
    <mergeCell ref="O232:Q232"/>
    <mergeCell ref="O236:Q236"/>
    <mergeCell ref="L220:N220"/>
    <mergeCell ref="L232:N232"/>
    <mergeCell ref="L236:N236"/>
    <mergeCell ref="M101:M103"/>
    <mergeCell ref="N127:N128"/>
    <mergeCell ref="P47:P48"/>
    <mergeCell ref="P49:P50"/>
    <mergeCell ref="P101:P103"/>
    <mergeCell ref="P119:P120"/>
    <mergeCell ref="P127:P128"/>
    <mergeCell ref="P144:P145"/>
    <mergeCell ref="N12:N13"/>
    <mergeCell ref="L240:N240"/>
    <mergeCell ref="L119:L120"/>
    <mergeCell ref="M119:M120"/>
    <mergeCell ref="L144:L145"/>
    <mergeCell ref="M144:M145"/>
    <mergeCell ref="L238:L239"/>
    <mergeCell ref="M238:M239"/>
    <mergeCell ref="N144:N145"/>
    <mergeCell ref="N238:N239"/>
    <mergeCell ref="L127:M128"/>
    <mergeCell ref="L12:M13"/>
    <mergeCell ref="L36:L37"/>
    <mergeCell ref="M36:M37"/>
    <mergeCell ref="L45:L46"/>
    <mergeCell ref="M45:M46"/>
    <mergeCell ref="L47:L48"/>
    <mergeCell ref="M47:M48"/>
    <mergeCell ref="L49:L50"/>
    <mergeCell ref="M49:M50"/>
    <mergeCell ref="L43:N44"/>
    <mergeCell ref="N101:N103"/>
    <mergeCell ref="N119:N120"/>
    <mergeCell ref="L101:L103"/>
    <mergeCell ref="K45:K46"/>
    <mergeCell ref="F36:F37"/>
    <mergeCell ref="G36:G37"/>
    <mergeCell ref="H36:H37"/>
    <mergeCell ref="K36:K37"/>
    <mergeCell ref="M14:M15"/>
    <mergeCell ref="L27:L28"/>
    <mergeCell ref="M27:M28"/>
    <mergeCell ref="L31:L32"/>
    <mergeCell ref="M31:M32"/>
    <mergeCell ref="L33:L35"/>
    <mergeCell ref="M33:M35"/>
    <mergeCell ref="L29:N30"/>
    <mergeCell ref="L14:L15"/>
    <mergeCell ref="N14:N15"/>
    <mergeCell ref="N27:N28"/>
    <mergeCell ref="N31:N32"/>
    <mergeCell ref="N33:N35"/>
    <mergeCell ref="H20:H22"/>
    <mergeCell ref="A189:B189"/>
    <mergeCell ref="A196:B196"/>
    <mergeCell ref="A197:B197"/>
    <mergeCell ref="A240:K240"/>
    <mergeCell ref="B241:C241"/>
    <mergeCell ref="A236:K236"/>
    <mergeCell ref="B238:B239"/>
    <mergeCell ref="C238:C239"/>
    <mergeCell ref="D238:D239"/>
    <mergeCell ref="E238:E239"/>
    <mergeCell ref="F238:F239"/>
    <mergeCell ref="H238:H239"/>
    <mergeCell ref="K238:K239"/>
    <mergeCell ref="B171:C171"/>
    <mergeCell ref="A172:C172"/>
    <mergeCell ref="A173:C173"/>
    <mergeCell ref="B177:B178"/>
    <mergeCell ref="C177:C178"/>
    <mergeCell ref="D177:D178"/>
    <mergeCell ref="B165:C165"/>
    <mergeCell ref="B166:C166"/>
    <mergeCell ref="B167:C167"/>
    <mergeCell ref="B168:C168"/>
    <mergeCell ref="B169:C169"/>
    <mergeCell ref="B170:C170"/>
    <mergeCell ref="A159:C159"/>
    <mergeCell ref="B160:C160"/>
    <mergeCell ref="B161:C161"/>
    <mergeCell ref="B162:C162"/>
    <mergeCell ref="B163:C163"/>
    <mergeCell ref="B164:C164"/>
    <mergeCell ref="B153:C153"/>
    <mergeCell ref="B154:C154"/>
    <mergeCell ref="B155:C155"/>
    <mergeCell ref="B156:C156"/>
    <mergeCell ref="B157:C157"/>
    <mergeCell ref="B158:C158"/>
    <mergeCell ref="A147:C147"/>
    <mergeCell ref="A148:C148"/>
    <mergeCell ref="B149:C149"/>
    <mergeCell ref="B150:C150"/>
    <mergeCell ref="B151:C151"/>
    <mergeCell ref="B152:C152"/>
    <mergeCell ref="B143:C143"/>
    <mergeCell ref="B144:C145"/>
    <mergeCell ref="E144:E145"/>
    <mergeCell ref="H144:H145"/>
    <mergeCell ref="K144:K145"/>
    <mergeCell ref="B146:C146"/>
    <mergeCell ref="A137:C137"/>
    <mergeCell ref="B138:C138"/>
    <mergeCell ref="B139:C139"/>
    <mergeCell ref="B140:C140"/>
    <mergeCell ref="B141:C141"/>
    <mergeCell ref="B142:C142"/>
    <mergeCell ref="B131:C131"/>
    <mergeCell ref="B132:C132"/>
    <mergeCell ref="B133:C133"/>
    <mergeCell ref="B134:C134"/>
    <mergeCell ref="B135:C135"/>
    <mergeCell ref="B136:C136"/>
    <mergeCell ref="A125:A126"/>
    <mergeCell ref="B125:C125"/>
    <mergeCell ref="B126:C126"/>
    <mergeCell ref="A127:K128"/>
    <mergeCell ref="A129:C129"/>
    <mergeCell ref="A130:C130"/>
    <mergeCell ref="K101:K103"/>
    <mergeCell ref="A104:B104"/>
    <mergeCell ref="A105:B105"/>
    <mergeCell ref="A112:B112"/>
    <mergeCell ref="B119:B120"/>
    <mergeCell ref="E119:E120"/>
    <mergeCell ref="H119:H120"/>
    <mergeCell ref="K119:K120"/>
    <mergeCell ref="A86:B86"/>
    <mergeCell ref="A87:B87"/>
    <mergeCell ref="A94:B94"/>
    <mergeCell ref="B101:B103"/>
    <mergeCell ref="E101:E103"/>
    <mergeCell ref="H101:H103"/>
    <mergeCell ref="K47:K48"/>
    <mergeCell ref="B49:B50"/>
    <mergeCell ref="C49:C50"/>
    <mergeCell ref="D49:D50"/>
    <mergeCell ref="E49:E50"/>
    <mergeCell ref="F49:F50"/>
    <mergeCell ref="H49:H50"/>
    <mergeCell ref="K49:K50"/>
    <mergeCell ref="B47:B48"/>
    <mergeCell ref="C47:C48"/>
    <mergeCell ref="D47:D48"/>
    <mergeCell ref="E47:E48"/>
    <mergeCell ref="F47:F48"/>
    <mergeCell ref="G47:G48"/>
    <mergeCell ref="B36:B37"/>
    <mergeCell ref="C36:C37"/>
    <mergeCell ref="D36:D37"/>
    <mergeCell ref="E36:E37"/>
    <mergeCell ref="A63:B63"/>
    <mergeCell ref="A64:B64"/>
    <mergeCell ref="A73:B73"/>
    <mergeCell ref="A83:B83"/>
    <mergeCell ref="H47:H48"/>
    <mergeCell ref="A61:N62"/>
    <mergeCell ref="A59:A60"/>
    <mergeCell ref="N36:N37"/>
    <mergeCell ref="N45:N46"/>
    <mergeCell ref="N47:N48"/>
    <mergeCell ref="N49:N50"/>
    <mergeCell ref="A38:K39"/>
    <mergeCell ref="A43:K44"/>
    <mergeCell ref="B45:B46"/>
    <mergeCell ref="C45:C46"/>
    <mergeCell ref="D45:D46"/>
    <mergeCell ref="E45:E46"/>
    <mergeCell ref="F45:F46"/>
    <mergeCell ref="G45:G46"/>
    <mergeCell ref="H45:H46"/>
    <mergeCell ref="B31:B32"/>
    <mergeCell ref="C31:C32"/>
    <mergeCell ref="D31:D32"/>
    <mergeCell ref="E31:E32"/>
    <mergeCell ref="F31:F32"/>
    <mergeCell ref="G31:G32"/>
    <mergeCell ref="H31:H32"/>
    <mergeCell ref="K31:K32"/>
    <mergeCell ref="H33:H35"/>
    <mergeCell ref="K33:K35"/>
    <mergeCell ref="B33:B35"/>
    <mergeCell ref="C33:C35"/>
    <mergeCell ref="D33:D35"/>
    <mergeCell ref="E33:E35"/>
    <mergeCell ref="F33:F35"/>
    <mergeCell ref="G33:G35"/>
    <mergeCell ref="B27:B28"/>
    <mergeCell ref="C27:C28"/>
    <mergeCell ref="D27:D28"/>
    <mergeCell ref="E27:E28"/>
    <mergeCell ref="F27:F28"/>
    <mergeCell ref="G27:G28"/>
    <mergeCell ref="H27:H28"/>
    <mergeCell ref="K27:K28"/>
    <mergeCell ref="A29:K30"/>
    <mergeCell ref="B23:B25"/>
    <mergeCell ref="C23:C25"/>
    <mergeCell ref="D23:D25"/>
    <mergeCell ref="E23:E25"/>
    <mergeCell ref="F23:F25"/>
    <mergeCell ref="G23:G25"/>
    <mergeCell ref="H23:H25"/>
    <mergeCell ref="B20:B22"/>
    <mergeCell ref="C20:C22"/>
    <mergeCell ref="D20:D22"/>
    <mergeCell ref="E20:E22"/>
    <mergeCell ref="F20:F22"/>
    <mergeCell ref="G20:G22"/>
    <mergeCell ref="A10:A11"/>
    <mergeCell ref="A12:K13"/>
    <mergeCell ref="B14:B15"/>
    <mergeCell ref="C14:C15"/>
    <mergeCell ref="D14:D15"/>
    <mergeCell ref="E14:E15"/>
    <mergeCell ref="F14:F15"/>
    <mergeCell ref="G14:G15"/>
    <mergeCell ref="H14:H15"/>
    <mergeCell ref="K14:K15"/>
    <mergeCell ref="S43:S44"/>
    <mergeCell ref="S38:S40"/>
    <mergeCell ref="R61:R62"/>
    <mergeCell ref="S61:S62"/>
    <mergeCell ref="S12:S13"/>
    <mergeCell ref="S14:S15"/>
    <mergeCell ref="S18:S19"/>
    <mergeCell ref="S20:S21"/>
    <mergeCell ref="S31:S32"/>
    <mergeCell ref="S29:S30"/>
    <mergeCell ref="S33:S35"/>
    <mergeCell ref="S36:S37"/>
    <mergeCell ref="R47:R48"/>
    <mergeCell ref="R49:R50"/>
    <mergeCell ref="R12:R13"/>
    <mergeCell ref="R14:R15"/>
    <mergeCell ref="R27:R28"/>
    <mergeCell ref="R29:R30"/>
    <mergeCell ref="R31:R32"/>
    <mergeCell ref="R33:R35"/>
    <mergeCell ref="R36:R37"/>
    <mergeCell ref="R43:R44"/>
    <mergeCell ref="R45:R46"/>
    <mergeCell ref="R18:R19"/>
  </mergeCells>
  <phoneticPr fontId="33" type="noConversion"/>
  <pageMargins left="0.70866141732283472" right="0.70866141732283472" top="0.74803149606299213" bottom="0.74803149606299213" header="0.31496062992125984" footer="0.31496062992125984"/>
  <pageSetup paperSize="9" scale="75" orientation="landscape"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10</vt:i4>
      </vt:variant>
      <vt:variant>
        <vt:lpstr>Named Ranges</vt:lpstr>
      </vt:variant>
      <vt:variant>
        <vt:i4>1</vt:i4>
      </vt:variant>
    </vt:vector>
  </HeadingPairs>
  <TitlesOfParts>
    <vt:vector size="11" baseType="lpstr">
      <vt:lpstr>Consolidated SDM Tariffs</vt:lpstr>
      <vt:lpstr>SDM Tariffs</vt:lpstr>
      <vt:lpstr>Sheet1</vt:lpstr>
      <vt:lpstr>Ephraim</vt:lpstr>
      <vt:lpstr>Elias</vt:lpstr>
      <vt:lpstr>Sheet2</vt:lpstr>
      <vt:lpstr>Sundry tariifs</vt:lpstr>
      <vt:lpstr>Cost per Kilolitre</vt:lpstr>
      <vt:lpstr>Fire safety and training</vt:lpstr>
      <vt:lpstr>Municipal Health</vt:lpstr>
      <vt:lpstr>'SDM Tariffs'!Print_Area</vt:lpstr>
    </vt:vector>
  </TitlesOfParts>
  <Manager/>
  <Company>HP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matjieb</dc:creator>
  <cp:keywords/>
  <dc:description/>
  <cp:lastModifiedBy>Vhugala Budeli</cp:lastModifiedBy>
  <cp:revision/>
  <dcterms:created xsi:type="dcterms:W3CDTF">2011-02-24T18:32:11Z</dcterms:created>
  <dcterms:modified xsi:type="dcterms:W3CDTF">2026-04-01T05:53:46Z</dcterms:modified>
  <cp:category/>
  <cp:contentStatus/>
</cp:coreProperties>
</file>